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ina van Vlimmeren\Documents\excelbestanden voor de website\"/>
    </mc:Choice>
  </mc:AlternateContent>
  <bookViews>
    <workbookView xWindow="120" yWindow="98" windowWidth="9420" windowHeight="5018"/>
  </bookViews>
  <sheets>
    <sheet name="blad 1" sheetId="5" r:id="rId1"/>
  </sheets>
  <calcPr calcId="152511"/>
</workbook>
</file>

<file path=xl/calcChain.xml><?xml version="1.0" encoding="utf-8"?>
<calcChain xmlns="http://schemas.openxmlformats.org/spreadsheetml/2006/main">
  <c r="C10" i="5" l="1"/>
  <c r="P12" i="5"/>
  <c r="M50" i="5"/>
  <c r="L53" i="5" s="1"/>
  <c r="N53" i="5" s="1"/>
  <c r="M53" i="5"/>
  <c r="F12" i="5"/>
  <c r="G13" i="5" s="1"/>
  <c r="F13" i="5" s="1"/>
  <c r="G14" i="5" s="1"/>
  <c r="C13" i="5"/>
  <c r="M49" i="5"/>
  <c r="U14" i="5"/>
  <c r="W14" i="5" s="1"/>
  <c r="Y13" i="5"/>
  <c r="W13" i="5"/>
  <c r="X13" i="5" s="1"/>
  <c r="Y12" i="5"/>
  <c r="R44" i="5"/>
  <c r="V13" i="5"/>
  <c r="A14" i="5"/>
  <c r="C14" i="5" s="1"/>
  <c r="B13" i="5"/>
  <c r="K14" i="5"/>
  <c r="K15" i="5" s="1"/>
  <c r="M13" i="5"/>
  <c r="L13" i="5"/>
  <c r="L54" i="5" l="1"/>
  <c r="B14" i="5"/>
  <c r="L14" i="5"/>
  <c r="A15" i="5"/>
  <c r="C15" i="5" s="1"/>
  <c r="L62" i="5"/>
  <c r="L58" i="5"/>
  <c r="K16" i="5"/>
  <c r="M15" i="5"/>
  <c r="M14" i="5"/>
  <c r="B15" i="5"/>
  <c r="V14" i="5"/>
  <c r="Z13" i="5"/>
  <c r="L64" i="5"/>
  <c r="L60" i="5"/>
  <c r="L56" i="5"/>
  <c r="D13" i="5"/>
  <c r="E13" i="5" s="1"/>
  <c r="L63" i="5"/>
  <c r="L61" i="5"/>
  <c r="L59" i="5"/>
  <c r="L57" i="5"/>
  <c r="L55" i="5"/>
  <c r="M16" i="5"/>
  <c r="L16" i="5"/>
  <c r="K17" i="5"/>
  <c r="L15" i="5"/>
  <c r="AA13" i="5"/>
  <c r="AB13" i="5" s="1"/>
  <c r="U15" i="5"/>
  <c r="Y14" i="5"/>
  <c r="Z14" i="5" s="1"/>
  <c r="X14" i="5"/>
  <c r="F14" i="5"/>
  <c r="G15" i="5" s="1"/>
  <c r="D14" i="5"/>
  <c r="H14" i="5" s="1"/>
  <c r="O53" i="5"/>
  <c r="H13" i="5" l="1"/>
  <c r="I13" i="5" s="1"/>
  <c r="A16" i="5"/>
  <c r="C16" i="5"/>
  <c r="B16" i="5"/>
  <c r="A17" i="5"/>
  <c r="Y15" i="5"/>
  <c r="Z15" i="5" s="1"/>
  <c r="V15" i="5"/>
  <c r="U16" i="5"/>
  <c r="W15" i="5"/>
  <c r="X15" i="5" s="1"/>
  <c r="M54" i="5"/>
  <c r="F15" i="5"/>
  <c r="G16" i="5" s="1"/>
  <c r="D15" i="5"/>
  <c r="E15" i="5" s="1"/>
  <c r="AA14" i="5"/>
  <c r="AB14" i="5" s="1"/>
  <c r="E14" i="5"/>
  <c r="K18" i="5"/>
  <c r="L17" i="5"/>
  <c r="M17" i="5"/>
  <c r="H15" i="5" l="1"/>
  <c r="I15" i="5" s="1"/>
  <c r="C17" i="5"/>
  <c r="A18" i="5"/>
  <c r="B17" i="5"/>
  <c r="I14" i="5"/>
  <c r="F16" i="5"/>
  <c r="G17" i="5" s="1"/>
  <c r="D16" i="5"/>
  <c r="H16" i="5" s="1"/>
  <c r="M18" i="5"/>
  <c r="L18" i="5"/>
  <c r="K19" i="5"/>
  <c r="Y16" i="5"/>
  <c r="Z16" i="5" s="1"/>
  <c r="W16" i="5"/>
  <c r="X16" i="5" s="1"/>
  <c r="U17" i="5"/>
  <c r="V16" i="5"/>
  <c r="AA15" i="5"/>
  <c r="AB15" i="5" s="1"/>
  <c r="N54" i="5"/>
  <c r="C18" i="5" l="1"/>
  <c r="A19" i="5"/>
  <c r="B18" i="5"/>
  <c r="AA16" i="5"/>
  <c r="AB16" i="5" s="1"/>
  <c r="K20" i="5"/>
  <c r="L19" i="5"/>
  <c r="M19" i="5"/>
  <c r="E16" i="5"/>
  <c r="O54" i="5"/>
  <c r="Y17" i="5"/>
  <c r="Z17" i="5" s="1"/>
  <c r="V17" i="5"/>
  <c r="W17" i="5"/>
  <c r="X17" i="5" s="1"/>
  <c r="U18" i="5"/>
  <c r="F17" i="5"/>
  <c r="G18" i="5" s="1"/>
  <c r="D17" i="5"/>
  <c r="E17" i="5" s="1"/>
  <c r="H17" i="5" l="1"/>
  <c r="C19" i="5"/>
  <c r="A20" i="5"/>
  <c r="B19" i="5"/>
  <c r="I17" i="5"/>
  <c r="M55" i="5"/>
  <c r="I16" i="5"/>
  <c r="Y18" i="5"/>
  <c r="Z18" i="5" s="1"/>
  <c r="X18" i="5"/>
  <c r="W18" i="5"/>
  <c r="U19" i="5"/>
  <c r="V18" i="5"/>
  <c r="M20" i="5"/>
  <c r="L20" i="5"/>
  <c r="K21" i="5"/>
  <c r="F18" i="5"/>
  <c r="G19" i="5" s="1"/>
  <c r="D18" i="5"/>
  <c r="E18" i="5" s="1"/>
  <c r="AA17" i="5"/>
  <c r="AB17" i="5" s="1"/>
  <c r="H18" i="5" l="1"/>
  <c r="C20" i="5"/>
  <c r="B20" i="5"/>
  <c r="A21" i="5"/>
  <c r="I18" i="5"/>
  <c r="F19" i="5"/>
  <c r="G20" i="5" s="1"/>
  <c r="D19" i="5"/>
  <c r="H19" i="5" s="1"/>
  <c r="Y19" i="5"/>
  <c r="Z19" i="5" s="1"/>
  <c r="V19" i="5"/>
  <c r="W19" i="5"/>
  <c r="X19" i="5" s="1"/>
  <c r="U20" i="5"/>
  <c r="K22" i="5"/>
  <c r="L21" i="5"/>
  <c r="M21" i="5"/>
  <c r="AA18" i="5"/>
  <c r="AB18" i="5" s="1"/>
  <c r="N55" i="5"/>
  <c r="C21" i="5" l="1"/>
  <c r="A22" i="5"/>
  <c r="B21" i="5"/>
  <c r="M22" i="5"/>
  <c r="L22" i="5"/>
  <c r="K23" i="5"/>
  <c r="O55" i="5"/>
  <c r="Y20" i="5"/>
  <c r="Z20" i="5" s="1"/>
  <c r="W20" i="5"/>
  <c r="X20" i="5" s="1"/>
  <c r="U21" i="5"/>
  <c r="V20" i="5"/>
  <c r="F20" i="5"/>
  <c r="G21" i="5" s="1"/>
  <c r="D20" i="5"/>
  <c r="E20" i="5" s="1"/>
  <c r="AA19" i="5"/>
  <c r="AB19" i="5" s="1"/>
  <c r="E19" i="5"/>
  <c r="I19" i="5" s="1"/>
  <c r="H20" i="5" l="1"/>
  <c r="C22" i="5"/>
  <c r="A23" i="5"/>
  <c r="B22" i="5"/>
  <c r="Y21" i="5"/>
  <c r="Z21" i="5" s="1"/>
  <c r="V21" i="5"/>
  <c r="W21" i="5"/>
  <c r="X21" i="5" s="1"/>
  <c r="U22" i="5"/>
  <c r="M56" i="5"/>
  <c r="K24" i="5"/>
  <c r="L23" i="5"/>
  <c r="M23" i="5"/>
  <c r="I20" i="5"/>
  <c r="F21" i="5"/>
  <c r="G22" i="5" s="1"/>
  <c r="D21" i="5"/>
  <c r="E21" i="5" s="1"/>
  <c r="AA20" i="5"/>
  <c r="AB20" i="5" s="1"/>
  <c r="H21" i="5" l="1"/>
  <c r="I21" i="5" s="1"/>
  <c r="C23" i="5"/>
  <c r="A24" i="5"/>
  <c r="B23" i="5"/>
  <c r="F22" i="5"/>
  <c r="G23" i="5" s="1"/>
  <c r="D22" i="5"/>
  <c r="E22" i="5" s="1"/>
  <c r="N56" i="5"/>
  <c r="AA21" i="5"/>
  <c r="AB21" i="5" s="1"/>
  <c r="K25" i="5"/>
  <c r="M24" i="5"/>
  <c r="L24" i="5"/>
  <c r="Y22" i="5"/>
  <c r="W22" i="5"/>
  <c r="X22" i="5" s="1"/>
  <c r="U23" i="5"/>
  <c r="Z22" i="5"/>
  <c r="V22" i="5"/>
  <c r="H22" i="5" l="1"/>
  <c r="I22" i="5" s="1"/>
  <c r="C24" i="5"/>
  <c r="B24" i="5"/>
  <c r="A25" i="5"/>
  <c r="AA22" i="5"/>
  <c r="AB22" i="5" s="1"/>
  <c r="O56" i="5"/>
  <c r="Y23" i="5"/>
  <c r="Z23" i="5" s="1"/>
  <c r="V23" i="5"/>
  <c r="W23" i="5"/>
  <c r="X23" i="5" s="1"/>
  <c r="U24" i="5"/>
  <c r="K26" i="5"/>
  <c r="L25" i="5"/>
  <c r="M25" i="5"/>
  <c r="F23" i="5"/>
  <c r="G24" i="5" s="1"/>
  <c r="D23" i="5"/>
  <c r="E23" i="5" s="1"/>
  <c r="H23" i="5" l="1"/>
  <c r="I23" i="5" s="1"/>
  <c r="C25" i="5"/>
  <c r="A26" i="5"/>
  <c r="B25" i="5"/>
  <c r="AA23" i="5"/>
  <c r="AB23" i="5" s="1"/>
  <c r="F24" i="5"/>
  <c r="G25" i="5" s="1"/>
  <c r="D24" i="5"/>
  <c r="E24" i="5" s="1"/>
  <c r="M26" i="5"/>
  <c r="L26" i="5"/>
  <c r="K27" i="5"/>
  <c r="Y24" i="5"/>
  <c r="Z24" i="5" s="1"/>
  <c r="W24" i="5"/>
  <c r="X24" i="5" s="1"/>
  <c r="U25" i="5"/>
  <c r="V24" i="5"/>
  <c r="M57" i="5"/>
  <c r="H24" i="5" l="1"/>
  <c r="C26" i="5"/>
  <c r="A27" i="5"/>
  <c r="B26" i="5"/>
  <c r="N57" i="5"/>
  <c r="K28" i="5"/>
  <c r="L27" i="5"/>
  <c r="M27" i="5"/>
  <c r="AA24" i="5"/>
  <c r="AB24" i="5" s="1"/>
  <c r="I24" i="5"/>
  <c r="F25" i="5"/>
  <c r="G26" i="5" s="1"/>
  <c r="D25" i="5"/>
  <c r="E25" i="5" s="1"/>
  <c r="Y25" i="5"/>
  <c r="Z25" i="5" s="1"/>
  <c r="V25" i="5"/>
  <c r="W25" i="5"/>
  <c r="X25" i="5" s="1"/>
  <c r="U26" i="5"/>
  <c r="H25" i="5" l="1"/>
  <c r="C27" i="5"/>
  <c r="A28" i="5"/>
  <c r="B27" i="5"/>
  <c r="I25" i="5"/>
  <c r="F26" i="5"/>
  <c r="G27" i="5" s="1"/>
  <c r="D26" i="5"/>
  <c r="E26" i="5" s="1"/>
  <c r="AA25" i="5"/>
  <c r="AB25" i="5" s="1"/>
  <c r="Y26" i="5"/>
  <c r="Z26" i="5" s="1"/>
  <c r="W26" i="5"/>
  <c r="X26" i="5" s="1"/>
  <c r="U27" i="5"/>
  <c r="V26" i="5"/>
  <c r="M28" i="5"/>
  <c r="L28" i="5"/>
  <c r="K29" i="5"/>
  <c r="O57" i="5"/>
  <c r="H26" i="5" l="1"/>
  <c r="C28" i="5"/>
  <c r="A29" i="5"/>
  <c r="B28" i="5"/>
  <c r="I26" i="5"/>
  <c r="M58" i="5"/>
  <c r="AA26" i="5"/>
  <c r="AB26" i="5" s="1"/>
  <c r="K30" i="5"/>
  <c r="L29" i="5"/>
  <c r="M29" i="5"/>
  <c r="Y27" i="5"/>
  <c r="V27" i="5"/>
  <c r="W27" i="5"/>
  <c r="X27" i="5" s="1"/>
  <c r="U28" i="5"/>
  <c r="Z27" i="5"/>
  <c r="F27" i="5"/>
  <c r="G28" i="5" s="1"/>
  <c r="D27" i="5"/>
  <c r="E27" i="5" s="1"/>
  <c r="H27" i="5" l="1"/>
  <c r="I27" i="5" s="1"/>
  <c r="C29" i="5"/>
  <c r="A30" i="5"/>
  <c r="B29" i="5"/>
  <c r="Y28" i="5"/>
  <c r="W28" i="5"/>
  <c r="X28" i="5" s="1"/>
  <c r="U29" i="5"/>
  <c r="Z28" i="5"/>
  <c r="V28" i="5"/>
  <c r="K31" i="5"/>
  <c r="L30" i="5"/>
  <c r="M30" i="5"/>
  <c r="AA27" i="5"/>
  <c r="AB27" i="5" s="1"/>
  <c r="F28" i="5"/>
  <c r="G29" i="5" s="1"/>
  <c r="D28" i="5"/>
  <c r="E28" i="5" s="1"/>
  <c r="N58" i="5"/>
  <c r="O58" i="5" s="1"/>
  <c r="H28" i="5" l="1"/>
  <c r="I28" i="5" s="1"/>
  <c r="C30" i="5"/>
  <c r="B30" i="5"/>
  <c r="A31" i="5"/>
  <c r="F29" i="5"/>
  <c r="G30" i="5" s="1"/>
  <c r="D29" i="5"/>
  <c r="E29" i="5" s="1"/>
  <c r="M59" i="5"/>
  <c r="N59" i="5" s="1"/>
  <c r="O59" i="5"/>
  <c r="M31" i="5"/>
  <c r="K32" i="5"/>
  <c r="L31" i="5"/>
  <c r="Y29" i="5"/>
  <c r="V29" i="5"/>
  <c r="W29" i="5"/>
  <c r="X29" i="5" s="1"/>
  <c r="U30" i="5"/>
  <c r="Z29" i="5"/>
  <c r="AA28" i="5"/>
  <c r="AB28" i="5" s="1"/>
  <c r="H29" i="5" l="1"/>
  <c r="I29" i="5" s="1"/>
  <c r="C31" i="5"/>
  <c r="A32" i="5"/>
  <c r="B31" i="5"/>
  <c r="AA29" i="5"/>
  <c r="AB29" i="5" s="1"/>
  <c r="Y30" i="5"/>
  <c r="Z30" i="5" s="1"/>
  <c r="W30" i="5"/>
  <c r="X30" i="5" s="1"/>
  <c r="U31" i="5"/>
  <c r="V30" i="5"/>
  <c r="L32" i="5"/>
  <c r="K33" i="5"/>
  <c r="M32" i="5"/>
  <c r="M60" i="5"/>
  <c r="N60" i="5" s="1"/>
  <c r="O60" i="5" s="1"/>
  <c r="F30" i="5"/>
  <c r="G31" i="5" s="1"/>
  <c r="D30" i="5"/>
  <c r="E30" i="5" s="1"/>
  <c r="H30" i="5" l="1"/>
  <c r="C32" i="5"/>
  <c r="B32" i="5"/>
  <c r="A33" i="5"/>
  <c r="I30" i="5"/>
  <c r="M61" i="5"/>
  <c r="N61" i="5" s="1"/>
  <c r="O61" i="5" s="1"/>
  <c r="F31" i="5"/>
  <c r="G32" i="5" s="1"/>
  <c r="D31" i="5"/>
  <c r="E31" i="5" s="1"/>
  <c r="AA30" i="5"/>
  <c r="AB30" i="5" s="1"/>
  <c r="Y31" i="5"/>
  <c r="V31" i="5"/>
  <c r="W31" i="5"/>
  <c r="X31" i="5" s="1"/>
  <c r="U32" i="5"/>
  <c r="Z31" i="5"/>
  <c r="M33" i="5"/>
  <c r="K34" i="5"/>
  <c r="L33" i="5"/>
  <c r="C33" i="5" l="1"/>
  <c r="A34" i="5"/>
  <c r="B33" i="5"/>
  <c r="H31" i="5"/>
  <c r="I31" i="5" s="1"/>
  <c r="M62" i="5"/>
  <c r="N62" i="5" s="1"/>
  <c r="O62" i="5" s="1"/>
  <c r="Y32" i="5"/>
  <c r="Z32" i="5" s="1"/>
  <c r="W32" i="5"/>
  <c r="X32" i="5" s="1"/>
  <c r="U33" i="5"/>
  <c r="V32" i="5"/>
  <c r="F32" i="5"/>
  <c r="G33" i="5" s="1"/>
  <c r="D32" i="5"/>
  <c r="E32" i="5" s="1"/>
  <c r="K35" i="5"/>
  <c r="L34" i="5"/>
  <c r="M34" i="5"/>
  <c r="AA31" i="5"/>
  <c r="AB31" i="5" s="1"/>
  <c r="H32" i="5" l="1"/>
  <c r="I32" i="5" s="1"/>
  <c r="C34" i="5"/>
  <c r="A35" i="5"/>
  <c r="B34" i="5"/>
  <c r="M63" i="5"/>
  <c r="N63" i="5" s="1"/>
  <c r="O63" i="5" s="1"/>
  <c r="AA32" i="5"/>
  <c r="AB32" i="5" s="1"/>
  <c r="F33" i="5"/>
  <c r="G34" i="5" s="1"/>
  <c r="D33" i="5"/>
  <c r="E33" i="5" s="1"/>
  <c r="Y33" i="5"/>
  <c r="V33" i="5"/>
  <c r="W33" i="5"/>
  <c r="X33" i="5" s="1"/>
  <c r="U34" i="5"/>
  <c r="Z33" i="5"/>
  <c r="M35" i="5"/>
  <c r="K36" i="5"/>
  <c r="L35" i="5"/>
  <c r="H33" i="5" l="1"/>
  <c r="I33" i="5" s="1"/>
  <c r="C35" i="5"/>
  <c r="A36" i="5"/>
  <c r="B35" i="5"/>
  <c r="M64" i="5"/>
  <c r="L36" i="5"/>
  <c r="K37" i="5"/>
  <c r="M36" i="5"/>
  <c r="AA33" i="5"/>
  <c r="AB33" i="5" s="1"/>
  <c r="Y34" i="5"/>
  <c r="Z34" i="5" s="1"/>
  <c r="W34" i="5"/>
  <c r="X34" i="5" s="1"/>
  <c r="U35" i="5"/>
  <c r="V34" i="5"/>
  <c r="F34" i="5"/>
  <c r="G35" i="5" s="1"/>
  <c r="D34" i="5"/>
  <c r="E34" i="5" s="1"/>
  <c r="H34" i="5" l="1"/>
  <c r="I34" i="5" s="1"/>
  <c r="C36" i="5"/>
  <c r="B36" i="5"/>
  <c r="A37" i="5"/>
  <c r="Y35" i="5"/>
  <c r="Z35" i="5" s="1"/>
  <c r="V35" i="5"/>
  <c r="W35" i="5"/>
  <c r="X35" i="5" s="1"/>
  <c r="U36" i="5"/>
  <c r="F35" i="5"/>
  <c r="G36" i="5" s="1"/>
  <c r="D35" i="5"/>
  <c r="E35" i="5" s="1"/>
  <c r="AA34" i="5"/>
  <c r="AB34" i="5" s="1"/>
  <c r="M37" i="5"/>
  <c r="K38" i="5"/>
  <c r="L37" i="5"/>
  <c r="N64" i="5"/>
  <c r="M65" i="5"/>
  <c r="N13" i="5" s="1"/>
  <c r="H35" i="5" l="1"/>
  <c r="I35" i="5" s="1"/>
  <c r="C37" i="5"/>
  <c r="A38" i="5"/>
  <c r="B37" i="5"/>
  <c r="K39" i="5"/>
  <c r="L38" i="5"/>
  <c r="M38" i="5"/>
  <c r="F36" i="5"/>
  <c r="G37" i="5" s="1"/>
  <c r="D36" i="5"/>
  <c r="E36" i="5" s="1"/>
  <c r="O13" i="5"/>
  <c r="Y36" i="5"/>
  <c r="Z36" i="5" s="1"/>
  <c r="W36" i="5"/>
  <c r="X36" i="5" s="1"/>
  <c r="U37" i="5"/>
  <c r="V36" i="5"/>
  <c r="N65" i="5"/>
  <c r="O64" i="5"/>
  <c r="AA35" i="5"/>
  <c r="AB35" i="5" s="1"/>
  <c r="H36" i="5" l="1"/>
  <c r="I36" i="5" s="1"/>
  <c r="A39" i="5"/>
  <c r="B38" i="5"/>
  <c r="C38" i="5"/>
  <c r="Q13" i="5"/>
  <c r="O65" i="5"/>
  <c r="Y37" i="5"/>
  <c r="Z37" i="5" s="1"/>
  <c r="Z43" i="5" s="1"/>
  <c r="V37" i="5"/>
  <c r="W37" i="5"/>
  <c r="X37" i="5" s="1"/>
  <c r="U38" i="5"/>
  <c r="F37" i="5"/>
  <c r="G38" i="5" s="1"/>
  <c r="D37" i="5"/>
  <c r="H37" i="5" s="1"/>
  <c r="G43" i="5"/>
  <c r="AA36" i="5"/>
  <c r="AB36" i="5" s="1"/>
  <c r="M39" i="5"/>
  <c r="K40" i="5"/>
  <c r="L39" i="5"/>
  <c r="X43" i="5" l="1"/>
  <c r="B39" i="5"/>
  <c r="A40" i="5"/>
  <c r="C39" i="5"/>
  <c r="L40" i="5"/>
  <c r="K41" i="5"/>
  <c r="M40" i="5"/>
  <c r="E37" i="5"/>
  <c r="E43" i="5" s="1"/>
  <c r="D43" i="5"/>
  <c r="H43" i="5"/>
  <c r="H45" i="5" s="1"/>
  <c r="D38" i="5"/>
  <c r="E38" i="5" s="1"/>
  <c r="F38" i="5"/>
  <c r="G39" i="5" s="1"/>
  <c r="H38" i="5"/>
  <c r="I38" i="5" s="1"/>
  <c r="AA37" i="5"/>
  <c r="P13" i="5"/>
  <c r="Q14" i="5" s="1"/>
  <c r="R13" i="5"/>
  <c r="Y38" i="5"/>
  <c r="U39" i="5"/>
  <c r="W38" i="5"/>
  <c r="X38" i="5"/>
  <c r="Z38" i="5"/>
  <c r="V38" i="5"/>
  <c r="AA43" i="5" l="1"/>
  <c r="AA45" i="5" s="1"/>
  <c r="AB37" i="5"/>
  <c r="AB43" i="5" s="1"/>
  <c r="AB45" i="5" s="1"/>
  <c r="I37" i="5"/>
  <c r="I43" i="5" s="1"/>
  <c r="I45" i="5" s="1"/>
  <c r="B40" i="5"/>
  <c r="C40" i="5"/>
  <c r="A41" i="5"/>
  <c r="AA38" i="5"/>
  <c r="AB38" i="5" s="1"/>
  <c r="S13" i="5"/>
  <c r="M41" i="5"/>
  <c r="K42" i="5"/>
  <c r="L41" i="5"/>
  <c r="Z39" i="5"/>
  <c r="X39" i="5"/>
  <c r="V39" i="5"/>
  <c r="U40" i="5"/>
  <c r="W39" i="5"/>
  <c r="Y39" i="5"/>
  <c r="P14" i="5"/>
  <c r="Q15" i="5" s="1"/>
  <c r="N14" i="5"/>
  <c r="R14" i="5" s="1"/>
  <c r="D39" i="5"/>
  <c r="E39" i="5" s="1"/>
  <c r="F39" i="5"/>
  <c r="G40" i="5" s="1"/>
  <c r="H39" i="5"/>
  <c r="I39" i="5" s="1"/>
  <c r="B41" i="5" l="1"/>
  <c r="A42" i="5"/>
  <c r="C41" i="5"/>
  <c r="D40" i="5"/>
  <c r="E40" i="5" s="1"/>
  <c r="F40" i="5"/>
  <c r="G41" i="5" s="1"/>
  <c r="H40" i="5"/>
  <c r="P15" i="5"/>
  <c r="Q16" i="5" s="1"/>
  <c r="N15" i="5"/>
  <c r="O15" i="5" s="1"/>
  <c r="R15" i="5"/>
  <c r="AA39" i="5"/>
  <c r="AB39" i="5" s="1"/>
  <c r="O14" i="5"/>
  <c r="S14" i="5" s="1"/>
  <c r="L42" i="5"/>
  <c r="M42" i="5"/>
  <c r="Y40" i="5"/>
  <c r="U41" i="5"/>
  <c r="W40" i="5"/>
  <c r="Z40" i="5"/>
  <c r="V40" i="5"/>
  <c r="X40" i="5"/>
  <c r="I40" i="5" l="1"/>
  <c r="B42" i="5"/>
  <c r="C42" i="5"/>
  <c r="S15" i="5"/>
  <c r="Z41" i="5"/>
  <c r="X41" i="5"/>
  <c r="V41" i="5"/>
  <c r="Y41" i="5"/>
  <c r="U42" i="5"/>
  <c r="W41" i="5"/>
  <c r="AA40" i="5"/>
  <c r="AB40" i="5" s="1"/>
  <c r="P16" i="5"/>
  <c r="Q17" i="5" s="1"/>
  <c r="N16" i="5"/>
  <c r="R16" i="5" s="1"/>
  <c r="D41" i="5"/>
  <c r="E41" i="5" s="1"/>
  <c r="F41" i="5"/>
  <c r="G42" i="5" s="1"/>
  <c r="H41" i="5"/>
  <c r="I41" i="5" s="1"/>
  <c r="O16" i="5" l="1"/>
  <c r="S16" i="5" s="1"/>
  <c r="AA41" i="5"/>
  <c r="AB41" i="5" s="1"/>
  <c r="D42" i="5"/>
  <c r="E42" i="5" s="1"/>
  <c r="H42" i="5"/>
  <c r="F42" i="5"/>
  <c r="P17" i="5"/>
  <c r="Q18" i="5" s="1"/>
  <c r="N17" i="5"/>
  <c r="O17" i="5" s="1"/>
  <c r="Y42" i="5"/>
  <c r="W42" i="5"/>
  <c r="X42" i="5"/>
  <c r="Z42" i="5"/>
  <c r="AB42" i="5" s="1"/>
  <c r="V42" i="5"/>
  <c r="R17" i="5" l="1"/>
  <c r="S17" i="5" s="1"/>
  <c r="AA42" i="5"/>
  <c r="I42" i="5"/>
  <c r="P18" i="5"/>
  <c r="Q19" i="5" s="1"/>
  <c r="N18" i="5"/>
  <c r="O18" i="5" s="1"/>
  <c r="R18" i="5" l="1"/>
  <c r="S18" i="5" s="1"/>
  <c r="P19" i="5"/>
  <c r="Q20" i="5" s="1"/>
  <c r="N19" i="5"/>
  <c r="O19" i="5" s="1"/>
  <c r="R19" i="5" l="1"/>
  <c r="S19" i="5" s="1"/>
  <c r="P20" i="5"/>
  <c r="Q21" i="5" s="1"/>
  <c r="N20" i="5"/>
  <c r="O20" i="5" s="1"/>
  <c r="R20" i="5" l="1"/>
  <c r="S20" i="5" s="1"/>
  <c r="P21" i="5"/>
  <c r="Q22" i="5" s="1"/>
  <c r="N21" i="5"/>
  <c r="O21" i="5" s="1"/>
  <c r="R21" i="5" l="1"/>
  <c r="S21" i="5" s="1"/>
  <c r="P22" i="5"/>
  <c r="Q23" i="5" s="1"/>
  <c r="N22" i="5"/>
  <c r="O22" i="5" s="1"/>
  <c r="R22" i="5" l="1"/>
  <c r="S22" i="5" s="1"/>
  <c r="P23" i="5"/>
  <c r="Q24" i="5" s="1"/>
  <c r="N23" i="5"/>
  <c r="O23" i="5" s="1"/>
  <c r="R23" i="5" l="1"/>
  <c r="S23" i="5" s="1"/>
  <c r="P24" i="5"/>
  <c r="Q25" i="5" s="1"/>
  <c r="N24" i="5"/>
  <c r="O24" i="5" s="1"/>
  <c r="R24" i="5" l="1"/>
  <c r="S24" i="5" s="1"/>
  <c r="P25" i="5"/>
  <c r="Q26" i="5" s="1"/>
  <c r="N25" i="5"/>
  <c r="O25" i="5" s="1"/>
  <c r="R25" i="5" l="1"/>
  <c r="S25" i="5" s="1"/>
  <c r="P26" i="5"/>
  <c r="Q27" i="5" s="1"/>
  <c r="N26" i="5"/>
  <c r="O26" i="5" s="1"/>
  <c r="R26" i="5" l="1"/>
  <c r="S26" i="5" s="1"/>
  <c r="P27" i="5"/>
  <c r="Q28" i="5" s="1"/>
  <c r="N27" i="5"/>
  <c r="O27" i="5" s="1"/>
  <c r="R27" i="5" l="1"/>
  <c r="S27" i="5" s="1"/>
  <c r="P28" i="5"/>
  <c r="Q29" i="5" s="1"/>
  <c r="N28" i="5"/>
  <c r="O28" i="5" s="1"/>
  <c r="R28" i="5" l="1"/>
  <c r="S28" i="5" s="1"/>
  <c r="P29" i="5"/>
  <c r="Q30" i="5" s="1"/>
  <c r="N29" i="5"/>
  <c r="O29" i="5" s="1"/>
  <c r="R29" i="5" l="1"/>
  <c r="S29" i="5" s="1"/>
  <c r="P30" i="5"/>
  <c r="Q31" i="5" s="1"/>
  <c r="N30" i="5"/>
  <c r="O30" i="5" s="1"/>
  <c r="R30" i="5" l="1"/>
  <c r="S30" i="5" s="1"/>
  <c r="P31" i="5"/>
  <c r="Q32" i="5" s="1"/>
  <c r="N31" i="5"/>
  <c r="O31" i="5" s="1"/>
  <c r="R31" i="5" l="1"/>
  <c r="S31" i="5" s="1"/>
  <c r="P32" i="5"/>
  <c r="Q33" i="5" s="1"/>
  <c r="N32" i="5"/>
  <c r="O32" i="5" s="1"/>
  <c r="R32" i="5" l="1"/>
  <c r="S32" i="5" s="1"/>
  <c r="P33" i="5"/>
  <c r="Q34" i="5" s="1"/>
  <c r="N33" i="5"/>
  <c r="O33" i="5" s="1"/>
  <c r="R33" i="5" l="1"/>
  <c r="S33" i="5" s="1"/>
  <c r="P34" i="5"/>
  <c r="Q35" i="5" s="1"/>
  <c r="N34" i="5"/>
  <c r="O34" i="5" s="1"/>
  <c r="R34" i="5" l="1"/>
  <c r="S34" i="5" s="1"/>
  <c r="P35" i="5"/>
  <c r="Q36" i="5" s="1"/>
  <c r="N35" i="5"/>
  <c r="O35" i="5" s="1"/>
  <c r="R35" i="5" l="1"/>
  <c r="S35" i="5" s="1"/>
  <c r="P36" i="5"/>
  <c r="Q37" i="5" s="1"/>
  <c r="N36" i="5"/>
  <c r="O36" i="5" s="1"/>
  <c r="R36" i="5" l="1"/>
  <c r="S36" i="5" s="1"/>
  <c r="P37" i="5"/>
  <c r="Q38" i="5" s="1"/>
  <c r="N37" i="5"/>
  <c r="O37" i="5" s="1"/>
  <c r="R37" i="5" l="1"/>
  <c r="S37" i="5" s="1"/>
  <c r="N38" i="5"/>
  <c r="O38" i="5" s="1"/>
  <c r="P38" i="5"/>
  <c r="Q39" i="5" s="1"/>
  <c r="R38" i="5"/>
  <c r="S38" i="5" l="1"/>
  <c r="N39" i="5"/>
  <c r="O39" i="5" s="1"/>
  <c r="P39" i="5"/>
  <c r="Q40" i="5" s="1"/>
  <c r="R39" i="5"/>
  <c r="S39" i="5" l="1"/>
  <c r="N40" i="5"/>
  <c r="O40" i="5" s="1"/>
  <c r="P40" i="5"/>
  <c r="Q41" i="5" s="1"/>
  <c r="R40" i="5"/>
  <c r="S40" i="5" s="1"/>
  <c r="N41" i="5" l="1"/>
  <c r="O41" i="5" s="1"/>
  <c r="P41" i="5"/>
  <c r="Q42" i="5" s="1"/>
  <c r="R41" i="5"/>
  <c r="S41" i="5" l="1"/>
  <c r="N42" i="5"/>
  <c r="R42" i="5"/>
  <c r="P42" i="5"/>
  <c r="Q43" i="5"/>
  <c r="O42" i="5" l="1"/>
  <c r="O43" i="5" s="1"/>
  <c r="N43" i="5"/>
  <c r="R43" i="5"/>
  <c r="R45" i="5" s="1"/>
  <c r="S42" i="5" l="1"/>
  <c r="S43" i="5" s="1"/>
  <c r="S45" i="5" s="1"/>
</calcChain>
</file>

<file path=xl/sharedStrings.xml><?xml version="1.0" encoding="utf-8"?>
<sst xmlns="http://schemas.openxmlformats.org/spreadsheetml/2006/main" count="51" uniqueCount="32">
  <si>
    <t>Hypotheekbedrag</t>
  </si>
  <si>
    <t>Lineair</t>
  </si>
  <si>
    <t>Annuiteit</t>
  </si>
  <si>
    <t>Spaar</t>
  </si>
  <si>
    <t>Rentepercentage</t>
  </si>
  <si>
    <t>Looptijd in jaren</t>
  </si>
  <si>
    <t>Bruto jaarinkomen</t>
  </si>
  <si>
    <t>Fiscaal voordeel</t>
  </si>
  <si>
    <t>Jaar</t>
  </si>
  <si>
    <t>Bruto inkomen totaal per jaar</t>
  </si>
  <si>
    <t>Veron-dersteld rente-verloop</t>
  </si>
  <si>
    <t>Fiscaal aftrekbaar per jaar</t>
  </si>
  <si>
    <t>Voordeel IB/LB per jaar</t>
  </si>
  <si>
    <t>Schuldrest</t>
  </si>
  <si>
    <t>Totaal afgelost per jaar</t>
  </si>
  <si>
    <t>Bruto hypotheek-lasten per maand</t>
  </si>
  <si>
    <t>Netto hypotheek-lasten per maand</t>
  </si>
  <si>
    <t>Totaal</t>
  </si>
  <si>
    <t>Over de gehele looptijd</t>
  </si>
  <si>
    <t>annuiteit</t>
  </si>
  <si>
    <t>A</t>
  </si>
  <si>
    <t>r1</t>
  </si>
  <si>
    <t>a1</t>
  </si>
  <si>
    <t>R</t>
  </si>
  <si>
    <t>Hulpberekeningen</t>
  </si>
  <si>
    <t xml:space="preserve">  in euro's </t>
  </si>
  <si>
    <t>Verondersteld renteverloop</t>
  </si>
  <si>
    <t>Eigenwoningforfait</t>
  </si>
  <si>
    <t>Jaarpremie lineair</t>
  </si>
  <si>
    <t>Jaarpremie annuiteit</t>
  </si>
  <si>
    <t>Jaarpremie spaar</t>
  </si>
  <si>
    <t>Rentelasten per 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</si>
</sst>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€&quot;\ * #,##0.00_-;_-&quot;€&quot;\ * #,##0.00\-;_-&quot;€&quot;\ * &quot;-&quot;??_-;_-@_-"/>
    <numFmt numFmtId="165" formatCode="_-&quot;fl&quot;\ * #,##0.00_-;_-&quot;fl&quot;\ * #,##0.00\-;_-&quot;fl&quot;\ * &quot;-&quot;??_-;_-@_-"/>
    <numFmt numFmtId="166" formatCode="_-&quot;fl&quot;\ * #,##0_-;_-&quot;fl&quot;\ * #,##0\-;_-&quot;fl&quot;\ * &quot;-&quot;??_-;_-@_-"/>
    <numFmt numFmtId="167" formatCode="&quot;€&quot;\ #,##0_-"/>
  </numFmts>
  <fonts count="9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14"/>
      <color indexed="9"/>
      <name val="Arial"/>
      <family val="2"/>
    </font>
    <font>
      <b/>
      <sz val="10"/>
      <name val="Arial"/>
      <family val="2"/>
    </font>
    <font>
      <sz val="10"/>
      <color indexed="57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7">
    <xf numFmtId="0" fontId="0" fillId="0" borderId="0" xfId="0"/>
    <xf numFmtId="165" fontId="1" fillId="0" borderId="0" xfId="3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165" fontId="1" fillId="0" borderId="0" xfId="3" applyNumberFormat="1" applyFont="1"/>
    <xf numFmtId="166" fontId="0" fillId="0" borderId="0" xfId="0" applyNumberFormat="1"/>
    <xf numFmtId="0" fontId="0" fillId="0" borderId="0" xfId="0" applyNumberFormat="1" applyFill="1" applyAlignment="1">
      <alignment horizontal="center"/>
    </xf>
    <xf numFmtId="0" fontId="0" fillId="0" borderId="0" xfId="0" applyNumberFormat="1" applyFill="1"/>
    <xf numFmtId="0" fontId="0" fillId="0" borderId="0" xfId="0" applyFill="1"/>
    <xf numFmtId="0" fontId="0" fillId="0" borderId="0" xfId="0" applyNumberFormat="1" applyFill="1" applyAlignment="1">
      <alignment horizontal="left"/>
    </xf>
    <xf numFmtId="164" fontId="2" fillId="2" borderId="12" xfId="2" applyFont="1" applyFill="1" applyBorder="1" applyAlignment="1">
      <alignment horizontal="left"/>
    </xf>
    <xf numFmtId="164" fontId="2" fillId="2" borderId="13" xfId="2" applyFont="1" applyFill="1" applyBorder="1"/>
    <xf numFmtId="10" fontId="4" fillId="2" borderId="13" xfId="0" applyNumberFormat="1" applyFont="1" applyFill="1" applyBorder="1" applyAlignment="1">
      <alignment vertical="top"/>
    </xf>
    <xf numFmtId="164" fontId="2" fillId="2" borderId="14" xfId="2" applyFont="1" applyFill="1" applyBorder="1" applyAlignment="1">
      <alignment horizontal="right" vertical="top"/>
    </xf>
    <xf numFmtId="0" fontId="2" fillId="2" borderId="15" xfId="3" applyNumberFormat="1" applyFont="1" applyFill="1" applyBorder="1"/>
    <xf numFmtId="164" fontId="2" fillId="2" borderId="16" xfId="2" applyFont="1" applyFill="1" applyBorder="1" applyAlignment="1">
      <alignment horizontal="right" vertical="top"/>
    </xf>
    <xf numFmtId="164" fontId="2" fillId="2" borderId="15" xfId="2" applyFont="1" applyFill="1" applyBorder="1"/>
    <xf numFmtId="164" fontId="2" fillId="2" borderId="16" xfId="2" applyFont="1" applyFill="1" applyBorder="1" applyAlignment="1">
      <alignment horizontal="right"/>
    </xf>
    <xf numFmtId="0" fontId="5" fillId="0" borderId="0" xfId="0" applyFont="1"/>
    <xf numFmtId="0" fontId="5" fillId="0" borderId="0" xfId="3" applyNumberFormat="1" applyFont="1"/>
    <xf numFmtId="0" fontId="5" fillId="0" borderId="0" xfId="0" applyNumberFormat="1" applyFont="1"/>
    <xf numFmtId="9" fontId="2" fillId="2" borderId="17" xfId="3" applyNumberFormat="1" applyFont="1" applyFill="1" applyBorder="1"/>
    <xf numFmtId="165" fontId="6" fillId="3" borderId="2" xfId="3" applyFont="1" applyFill="1" applyBorder="1"/>
    <xf numFmtId="0" fontId="6" fillId="3" borderId="3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166" fontId="2" fillId="3" borderId="0" xfId="3" applyNumberFormat="1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 wrapText="1"/>
    </xf>
    <xf numFmtId="166" fontId="2" fillId="3" borderId="0" xfId="3" applyNumberFormat="1" applyFont="1" applyFill="1" applyAlignment="1">
      <alignment horizontal="left" vertical="top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top"/>
    </xf>
    <xf numFmtId="0" fontId="0" fillId="4" borderId="0" xfId="0" applyFill="1" applyBorder="1"/>
    <xf numFmtId="0" fontId="4" fillId="5" borderId="0" xfId="0" applyFont="1" applyFill="1" applyBorder="1" applyAlignment="1">
      <alignment vertical="top"/>
    </xf>
    <xf numFmtId="0" fontId="0" fillId="5" borderId="0" xfId="0" applyFill="1" applyBorder="1"/>
    <xf numFmtId="0" fontId="0" fillId="7" borderId="0" xfId="0" applyFill="1"/>
    <xf numFmtId="165" fontId="1" fillId="9" borderId="0" xfId="3" applyFill="1"/>
    <xf numFmtId="165" fontId="1" fillId="9" borderId="0" xfId="3" applyFill="1" applyBorder="1"/>
    <xf numFmtId="164" fontId="1" fillId="9" borderId="0" xfId="2" applyFill="1"/>
    <xf numFmtId="164" fontId="1" fillId="9" borderId="1" xfId="2" applyFill="1" applyBorder="1"/>
    <xf numFmtId="165" fontId="1" fillId="6" borderId="0" xfId="3" applyFill="1"/>
    <xf numFmtId="165" fontId="1" fillId="6" borderId="0" xfId="3" applyFill="1" applyBorder="1"/>
    <xf numFmtId="164" fontId="1" fillId="6" borderId="0" xfId="2" applyFill="1"/>
    <xf numFmtId="164" fontId="1" fillId="6" borderId="1" xfId="2" applyFill="1" applyBorder="1"/>
    <xf numFmtId="164" fontId="1" fillId="8" borderId="9" xfId="2" applyFont="1" applyFill="1" applyBorder="1" applyAlignment="1">
      <alignment vertical="top" wrapText="1"/>
    </xf>
    <xf numFmtId="164" fontId="1" fillId="8" borderId="10" xfId="2" applyFill="1" applyBorder="1" applyAlignment="1">
      <alignment vertical="top" wrapText="1"/>
    </xf>
    <xf numFmtId="164" fontId="1" fillId="8" borderId="2" xfId="2" applyFill="1" applyBorder="1"/>
    <xf numFmtId="164" fontId="1" fillId="8" borderId="3" xfId="2" applyFill="1" applyBorder="1"/>
    <xf numFmtId="164" fontId="1" fillId="8" borderId="4" xfId="2" applyFill="1" applyBorder="1"/>
    <xf numFmtId="164" fontId="1" fillId="8" borderId="5" xfId="2" applyFill="1" applyBorder="1"/>
    <xf numFmtId="164" fontId="1" fillId="8" borderId="6" xfId="2" applyFill="1" applyBorder="1"/>
    <xf numFmtId="164" fontId="1" fillId="8" borderId="7" xfId="2" applyFill="1" applyBorder="1"/>
    <xf numFmtId="0" fontId="8" fillId="9" borderId="0" xfId="0" applyFont="1" applyFill="1" applyBorder="1"/>
    <xf numFmtId="0" fontId="4" fillId="9" borderId="0" xfId="0" applyFont="1" applyFill="1" applyAlignment="1">
      <alignment horizontal="left"/>
    </xf>
    <xf numFmtId="165" fontId="4" fillId="9" borderId="0" xfId="3" applyFont="1" applyFill="1" applyAlignment="1">
      <alignment horizontal="left"/>
    </xf>
    <xf numFmtId="9" fontId="2" fillId="9" borderId="0" xfId="3" applyNumberFormat="1" applyFont="1" applyFill="1"/>
    <xf numFmtId="0" fontId="0" fillId="9" borderId="3" xfId="0" applyFill="1" applyBorder="1"/>
    <xf numFmtId="0" fontId="6" fillId="9" borderId="0" xfId="0" applyFont="1" applyFill="1"/>
    <xf numFmtId="0" fontId="7" fillId="9" borderId="0" xfId="0" applyFont="1" applyFill="1" applyAlignment="1">
      <alignment horizontal="left"/>
    </xf>
    <xf numFmtId="165" fontId="7" fillId="9" borderId="0" xfId="3" applyFont="1" applyFill="1" applyAlignment="1">
      <alignment horizontal="left"/>
    </xf>
    <xf numFmtId="1" fontId="7" fillId="9" borderId="0" xfId="3" applyNumberFormat="1" applyFont="1" applyFill="1"/>
    <xf numFmtId="165" fontId="6" fillId="9" borderId="0" xfId="3" applyFont="1" applyFill="1"/>
    <xf numFmtId="0" fontId="8" fillId="9" borderId="3" xfId="0" applyFont="1" applyFill="1" applyBorder="1"/>
    <xf numFmtId="9" fontId="7" fillId="9" borderId="0" xfId="3" applyNumberFormat="1" applyFont="1" applyFill="1"/>
    <xf numFmtId="0" fontId="6" fillId="9" borderId="0" xfId="0" applyFont="1" applyFill="1" applyBorder="1" applyAlignment="1">
      <alignment horizontal="center"/>
    </xf>
    <xf numFmtId="165" fontId="6" fillId="9" borderId="0" xfId="3" applyFont="1" applyFill="1" applyBorder="1"/>
    <xf numFmtId="0" fontId="8" fillId="9" borderId="1" xfId="0" applyFont="1" applyFill="1" applyBorder="1"/>
    <xf numFmtId="0" fontId="8" fillId="9" borderId="5" xfId="0" applyFont="1" applyFill="1" applyBorder="1"/>
    <xf numFmtId="165" fontId="1" fillId="9" borderId="8" xfId="3" applyFont="1" applyFill="1" applyBorder="1" applyAlignment="1">
      <alignment vertical="top" wrapText="1"/>
    </xf>
    <xf numFmtId="0" fontId="0" fillId="9" borderId="0" xfId="0" applyNumberFormat="1" applyFill="1"/>
    <xf numFmtId="0" fontId="0" fillId="9" borderId="0" xfId="0" applyNumberFormat="1" applyFill="1" applyAlignment="1">
      <alignment horizontal="left"/>
    </xf>
    <xf numFmtId="165" fontId="1" fillId="11" borderId="9" xfId="3" applyFont="1" applyFill="1" applyBorder="1" applyAlignment="1">
      <alignment vertical="top" wrapText="1"/>
    </xf>
    <xf numFmtId="164" fontId="1" fillId="11" borderId="2" xfId="2" applyFill="1" applyBorder="1"/>
    <xf numFmtId="164" fontId="1" fillId="11" borderId="3" xfId="2" applyFill="1" applyBorder="1"/>
    <xf numFmtId="164" fontId="1" fillId="11" borderId="4" xfId="2" applyFill="1" applyBorder="1"/>
    <xf numFmtId="164" fontId="1" fillId="11" borderId="6" xfId="2" applyFill="1" applyBorder="1"/>
    <xf numFmtId="164" fontId="1" fillId="11" borderId="7" xfId="2" applyFill="1" applyBorder="1"/>
    <xf numFmtId="165" fontId="1" fillId="10" borderId="9" xfId="3" applyFont="1" applyFill="1" applyBorder="1" applyAlignment="1">
      <alignment vertical="top" wrapText="1"/>
    </xf>
    <xf numFmtId="0" fontId="0" fillId="10" borderId="10" xfId="0" applyFill="1" applyBorder="1" applyAlignment="1">
      <alignment vertical="top" wrapText="1"/>
    </xf>
    <xf numFmtId="164" fontId="1" fillId="10" borderId="2" xfId="2" applyFill="1" applyBorder="1"/>
    <xf numFmtId="164" fontId="1" fillId="10" borderId="3" xfId="2" applyFill="1" applyBorder="1"/>
    <xf numFmtId="164" fontId="1" fillId="10" borderId="4" xfId="2" applyFill="1" applyBorder="1"/>
    <xf numFmtId="164" fontId="1" fillId="10" borderId="5" xfId="2" applyFill="1" applyBorder="1"/>
    <xf numFmtId="164" fontId="1" fillId="10" borderId="6" xfId="2" applyFill="1" applyBorder="1"/>
    <xf numFmtId="164" fontId="1" fillId="10" borderId="7" xfId="2" applyFill="1" applyBorder="1"/>
    <xf numFmtId="165" fontId="1" fillId="4" borderId="0" xfId="3" applyFill="1"/>
    <xf numFmtId="165" fontId="1" fillId="4" borderId="0" xfId="3" applyFill="1" applyBorder="1"/>
    <xf numFmtId="164" fontId="1" fillId="4" borderId="0" xfId="2" applyFill="1"/>
    <xf numFmtId="164" fontId="1" fillId="4" borderId="1" xfId="2" applyFill="1" applyBorder="1"/>
    <xf numFmtId="0" fontId="0" fillId="7" borderId="18" xfId="0" applyFill="1" applyBorder="1" applyAlignment="1">
      <alignment horizontal="center" vertical="top" wrapText="1"/>
    </xf>
    <xf numFmtId="167" fontId="1" fillId="7" borderId="1" xfId="3" applyNumberFormat="1" applyFont="1" applyFill="1" applyBorder="1" applyAlignment="1">
      <alignment vertical="top" wrapText="1"/>
    </xf>
    <xf numFmtId="165" fontId="1" fillId="7" borderId="1" xfId="3" applyFont="1" applyFill="1" applyBorder="1" applyAlignment="1">
      <alignment vertical="top" wrapText="1"/>
    </xf>
    <xf numFmtId="0" fontId="0" fillId="7" borderId="0" xfId="0" applyFill="1" applyAlignment="1">
      <alignment horizontal="center"/>
    </xf>
    <xf numFmtId="167" fontId="1" fillId="7" borderId="0" xfId="3" applyNumberFormat="1" applyFill="1"/>
    <xf numFmtId="165" fontId="1" fillId="7" borderId="0" xfId="3" applyFill="1"/>
    <xf numFmtId="164" fontId="1" fillId="7" borderId="0" xfId="2" applyFill="1"/>
    <xf numFmtId="10" fontId="1" fillId="7" borderId="0" xfId="3" applyNumberFormat="1" applyFill="1"/>
    <xf numFmtId="0" fontId="0" fillId="7" borderId="8" xfId="0" applyFill="1" applyBorder="1"/>
    <xf numFmtId="0" fontId="0" fillId="7" borderId="8" xfId="0" applyFill="1" applyBorder="1" applyAlignment="1">
      <alignment horizontal="center" vertical="top" wrapText="1"/>
    </xf>
    <xf numFmtId="165" fontId="1" fillId="7" borderId="8" xfId="3" applyFont="1" applyFill="1" applyBorder="1" applyAlignment="1">
      <alignment vertical="top" wrapText="1"/>
    </xf>
    <xf numFmtId="0" fontId="0" fillId="7" borderId="0" xfId="0" applyNumberFormat="1" applyFill="1"/>
    <xf numFmtId="0" fontId="0" fillId="7" borderId="0" xfId="0" applyNumberFormat="1" applyFill="1" applyAlignment="1">
      <alignment horizontal="center"/>
    </xf>
    <xf numFmtId="9" fontId="1" fillId="7" borderId="0" xfId="1" applyFill="1"/>
    <xf numFmtId="0" fontId="1" fillId="7" borderId="0" xfId="3" applyNumberFormat="1" applyFill="1"/>
    <xf numFmtId="0" fontId="0" fillId="6" borderId="0" xfId="0" applyFill="1" applyBorder="1"/>
    <xf numFmtId="0" fontId="0" fillId="4" borderId="0" xfId="0" applyFill="1"/>
    <xf numFmtId="0" fontId="0" fillId="4" borderId="3" xfId="0" applyFill="1" applyBorder="1"/>
    <xf numFmtId="0" fontId="0" fillId="4" borderId="1" xfId="0" applyFill="1" applyBorder="1"/>
    <xf numFmtId="0" fontId="0" fillId="4" borderId="5" xfId="0" applyFill="1" applyBorder="1"/>
    <xf numFmtId="164" fontId="1" fillId="4" borderId="8" xfId="2" applyFont="1" applyFill="1" applyBorder="1" applyAlignment="1">
      <alignment vertical="top" wrapText="1"/>
    </xf>
    <xf numFmtId="0" fontId="0" fillId="4" borderId="0" xfId="0" applyFill="1" applyAlignment="1">
      <alignment horizontal="left"/>
    </xf>
    <xf numFmtId="0" fontId="2" fillId="6" borderId="0" xfId="0" applyFont="1" applyFill="1" applyAlignment="1">
      <alignment horizontal="left"/>
    </xf>
    <xf numFmtId="165" fontId="2" fillId="6" borderId="0" xfId="3" applyFont="1" applyFill="1" applyAlignment="1">
      <alignment horizontal="left"/>
    </xf>
    <xf numFmtId="9" fontId="2" fillId="6" borderId="0" xfId="3" applyNumberFormat="1" applyFont="1" applyFill="1"/>
    <xf numFmtId="0" fontId="6" fillId="6" borderId="0" xfId="0" applyFont="1" applyFill="1"/>
    <xf numFmtId="0" fontId="7" fillId="6" borderId="0" xfId="0" applyFont="1" applyFill="1" applyAlignment="1">
      <alignment horizontal="left"/>
    </xf>
    <xf numFmtId="165" fontId="7" fillId="6" borderId="0" xfId="3" applyFont="1" applyFill="1" applyAlignment="1">
      <alignment horizontal="left"/>
    </xf>
    <xf numFmtId="0" fontId="7" fillId="6" borderId="0" xfId="3" applyNumberFormat="1" applyFont="1" applyFill="1"/>
    <xf numFmtId="165" fontId="6" fillId="6" borderId="0" xfId="3" applyFont="1" applyFill="1"/>
    <xf numFmtId="0" fontId="8" fillId="6" borderId="0" xfId="0" applyFont="1" applyFill="1"/>
    <xf numFmtId="9" fontId="7" fillId="6" borderId="0" xfId="3" applyNumberFormat="1" applyFont="1" applyFill="1"/>
    <xf numFmtId="0" fontId="6" fillId="6" borderId="0" xfId="0" applyFont="1" applyFill="1" applyBorder="1" applyAlignment="1">
      <alignment horizontal="center"/>
    </xf>
    <xf numFmtId="165" fontId="6" fillId="6" borderId="0" xfId="3" applyFont="1" applyFill="1" applyBorder="1"/>
    <xf numFmtId="165" fontId="0" fillId="6" borderId="8" xfId="3" applyFont="1" applyFill="1" applyBorder="1" applyAlignment="1">
      <alignment vertical="top" wrapText="1"/>
    </xf>
    <xf numFmtId="165" fontId="1" fillId="6" borderId="8" xfId="3" applyFont="1" applyFill="1" applyBorder="1" applyAlignment="1">
      <alignment vertical="top" wrapText="1"/>
    </xf>
    <xf numFmtId="0" fontId="0" fillId="6" borderId="0" xfId="0" applyNumberFormat="1" applyFill="1"/>
    <xf numFmtId="0" fontId="0" fillId="6" borderId="0" xfId="0" applyNumberFormat="1" applyFill="1" applyAlignment="1">
      <alignment horizontal="left"/>
    </xf>
    <xf numFmtId="0" fontId="0" fillId="11" borderId="11" xfId="0" applyFill="1" applyBorder="1" applyAlignment="1">
      <alignment vertical="top" wrapText="1"/>
    </xf>
    <xf numFmtId="0" fontId="2" fillId="5" borderId="19" xfId="0" applyFont="1" applyFill="1" applyBorder="1" applyAlignment="1">
      <alignment horizontal="left"/>
    </xf>
    <xf numFmtId="0" fontId="2" fillId="5" borderId="20" xfId="0" applyFont="1" applyFill="1" applyBorder="1" applyAlignment="1">
      <alignment horizontal="left"/>
    </xf>
    <xf numFmtId="0" fontId="2" fillId="5" borderId="21" xfId="0" applyFont="1" applyFill="1" applyBorder="1" applyAlignment="1">
      <alignment horizontal="left"/>
    </xf>
    <xf numFmtId="0" fontId="2" fillId="5" borderId="22" xfId="0" applyFont="1" applyFill="1" applyBorder="1" applyAlignment="1">
      <alignment horizontal="left"/>
    </xf>
    <xf numFmtId="0" fontId="2" fillId="5" borderId="23" xfId="0" applyFont="1" applyFill="1" applyBorder="1" applyAlignment="1">
      <alignment horizontal="left"/>
    </xf>
    <xf numFmtId="0" fontId="2" fillId="5" borderId="24" xfId="0" applyFont="1" applyFill="1" applyBorder="1" applyAlignment="1">
      <alignment horizontal="left"/>
    </xf>
    <xf numFmtId="0" fontId="2" fillId="5" borderId="25" xfId="0" applyFont="1" applyFill="1" applyBorder="1" applyAlignment="1">
      <alignment horizontal="left" vertical="top"/>
    </xf>
    <xf numFmtId="0" fontId="2" fillId="5" borderId="26" xfId="0" applyFont="1" applyFill="1" applyBorder="1" applyAlignment="1">
      <alignment horizontal="left" vertical="top"/>
    </xf>
    <xf numFmtId="0" fontId="2" fillId="5" borderId="27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/>
    </xf>
    <xf numFmtId="165" fontId="3" fillId="3" borderId="2" xfId="3" applyFont="1" applyFill="1" applyBorder="1" applyAlignment="1">
      <alignment horizontal="center"/>
    </xf>
    <xf numFmtId="165" fontId="3" fillId="3" borderId="3" xfId="3" applyFont="1" applyFill="1" applyBorder="1" applyAlignment="1">
      <alignment horizontal="center"/>
    </xf>
    <xf numFmtId="0" fontId="2" fillId="5" borderId="27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0" fontId="2" fillId="5" borderId="25" xfId="0" applyFont="1" applyFill="1" applyBorder="1" applyAlignment="1">
      <alignment horizontal="left"/>
    </xf>
    <xf numFmtId="0" fontId="2" fillId="5" borderId="26" xfId="0" applyFont="1" applyFill="1" applyBorder="1" applyAlignment="1">
      <alignment horizontal="left"/>
    </xf>
  </cellXfs>
  <cellStyles count="4">
    <cellStyle name="Procent" xfId="1" builtinId="5"/>
    <cellStyle name="Standaard" xfId="0" builtinId="0"/>
    <cellStyle name="Valuta" xfId="2" builtinId="4"/>
    <cellStyle name="Valuta_hypotheken gecombineer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7"/>
  <sheetViews>
    <sheetView tabSelected="1" zoomScale="80" zoomScaleNormal="80" workbookViewId="0">
      <selection sqref="A1:B1"/>
    </sheetView>
  </sheetViews>
  <sheetFormatPr defaultRowHeight="12.75" x14ac:dyDescent="0.35"/>
  <cols>
    <col min="1" max="1" width="9.53125" customWidth="1"/>
    <col min="2" max="2" width="11.86328125" bestFit="1" customWidth="1"/>
    <col min="3" max="3" width="13.1328125" bestFit="1" customWidth="1"/>
    <col min="4" max="4" width="12.86328125" customWidth="1"/>
    <col min="5" max="5" width="14.53125" customWidth="1"/>
    <col min="6" max="9" width="12.86328125" customWidth="1"/>
    <col min="10" max="10" width="2.6640625" customWidth="1"/>
    <col min="11" max="11" width="6" customWidth="1"/>
    <col min="12" max="12" width="12" customWidth="1"/>
    <col min="13" max="13" width="7.53125" customWidth="1"/>
    <col min="14" max="14" width="12.86328125" customWidth="1"/>
    <col min="15" max="15" width="14.53125" customWidth="1"/>
    <col min="16" max="17" width="12.86328125" customWidth="1"/>
    <col min="18" max="19" width="12.86328125" bestFit="1" customWidth="1"/>
    <col min="20" max="20" width="2.46484375" customWidth="1"/>
    <col min="21" max="21" width="6" customWidth="1"/>
    <col min="22" max="22" width="11.86328125" customWidth="1"/>
    <col min="23" max="23" width="7.53125" customWidth="1"/>
    <col min="24" max="25" width="12.86328125" customWidth="1"/>
    <col min="26" max="26" width="7.46484375" customWidth="1"/>
    <col min="27" max="28" width="12.86328125" bestFit="1" customWidth="1"/>
  </cols>
  <sheetData>
    <row r="1" spans="1:28" ht="13.15" x14ac:dyDescent="0.4">
      <c r="A1" s="131" t="s">
        <v>0</v>
      </c>
      <c r="B1" s="132"/>
      <c r="C1" s="13">
        <v>250000</v>
      </c>
      <c r="D1" s="27"/>
      <c r="E1" s="28"/>
      <c r="F1" s="28"/>
      <c r="G1" s="28"/>
      <c r="H1" s="25"/>
      <c r="I1" s="26"/>
      <c r="J1" s="27"/>
      <c r="K1" s="28"/>
      <c r="L1" s="28"/>
      <c r="M1" s="28"/>
      <c r="N1" s="29"/>
      <c r="O1" s="27"/>
      <c r="P1" s="27"/>
      <c r="Q1" s="27"/>
      <c r="R1" s="25"/>
      <c r="S1" s="26"/>
      <c r="T1" s="27"/>
      <c r="U1" s="28"/>
      <c r="V1" s="28"/>
      <c r="W1" s="28"/>
      <c r="X1" s="29"/>
      <c r="Y1" s="27"/>
      <c r="Z1" s="27"/>
      <c r="AA1" s="25"/>
      <c r="AB1" s="26"/>
    </row>
    <row r="2" spans="1:28" ht="17.649999999999999" x14ac:dyDescent="0.5">
      <c r="A2" s="133" t="s">
        <v>4</v>
      </c>
      <c r="B2" s="134"/>
      <c r="C2" s="24">
        <v>0.06</v>
      </c>
      <c r="D2" s="27"/>
      <c r="E2" s="30"/>
      <c r="F2" s="28"/>
      <c r="G2" s="31"/>
      <c r="H2" s="141" t="s">
        <v>1</v>
      </c>
      <c r="I2" s="142"/>
      <c r="J2" s="27"/>
      <c r="K2" s="30"/>
      <c r="L2" s="28"/>
      <c r="M2" s="31"/>
      <c r="N2" s="32"/>
      <c r="O2" s="33"/>
      <c r="P2" s="33"/>
      <c r="Q2" s="33"/>
      <c r="R2" s="141" t="s">
        <v>2</v>
      </c>
      <c r="S2" s="142"/>
      <c r="T2" s="27"/>
      <c r="U2" s="30"/>
      <c r="V2" s="28"/>
      <c r="W2" s="31"/>
      <c r="X2" s="32"/>
      <c r="Y2" s="33"/>
      <c r="Z2" s="33"/>
      <c r="AA2" s="141" t="s">
        <v>3</v>
      </c>
      <c r="AB2" s="142"/>
    </row>
    <row r="3" spans="1:28" ht="13.15" x14ac:dyDescent="0.4">
      <c r="A3" s="135" t="s">
        <v>5</v>
      </c>
      <c r="B3" s="136"/>
      <c r="C3" s="17">
        <v>25</v>
      </c>
      <c r="D3" s="27"/>
      <c r="E3" s="28"/>
      <c r="F3" s="28"/>
      <c r="G3" s="28"/>
      <c r="H3" s="25"/>
      <c r="I3" s="26"/>
      <c r="J3" s="27"/>
      <c r="K3" s="28"/>
      <c r="L3" s="28"/>
      <c r="M3" s="28"/>
      <c r="N3" s="29"/>
      <c r="O3" s="27"/>
      <c r="P3" s="27"/>
      <c r="Q3" s="27"/>
      <c r="R3" s="25"/>
      <c r="S3" s="26"/>
      <c r="T3" s="27"/>
      <c r="U3" s="28"/>
      <c r="V3" s="28"/>
      <c r="W3" s="28"/>
      <c r="X3" s="29"/>
      <c r="Y3" s="27"/>
      <c r="Z3" s="27"/>
      <c r="AA3" s="25"/>
      <c r="AB3" s="26"/>
    </row>
    <row r="4" spans="1:28" ht="13.15" x14ac:dyDescent="0.4">
      <c r="A4" s="137" t="s">
        <v>28</v>
      </c>
      <c r="B4" s="138"/>
      <c r="C4" s="18">
        <v>750</v>
      </c>
      <c r="D4" s="27"/>
      <c r="E4" s="30"/>
      <c r="F4" s="28"/>
      <c r="G4" s="30"/>
      <c r="H4" s="25"/>
      <c r="I4" s="26"/>
      <c r="J4" s="27"/>
      <c r="K4" s="30"/>
      <c r="L4" s="28"/>
      <c r="M4" s="30"/>
      <c r="N4" s="32"/>
      <c r="O4" s="34"/>
      <c r="P4" s="34"/>
      <c r="Q4" s="34"/>
      <c r="R4" s="25"/>
      <c r="S4" s="26"/>
      <c r="T4" s="27"/>
      <c r="U4" s="30"/>
      <c r="V4" s="28"/>
      <c r="W4" s="30"/>
      <c r="X4" s="32"/>
      <c r="Y4" s="34"/>
      <c r="Z4" s="34"/>
      <c r="AA4" s="25"/>
      <c r="AB4" s="26"/>
    </row>
    <row r="5" spans="1:28" ht="13.15" x14ac:dyDescent="0.4">
      <c r="A5" s="143" t="s">
        <v>29</v>
      </c>
      <c r="B5" s="144"/>
      <c r="C5" s="14">
        <v>975</v>
      </c>
      <c r="D5" s="108"/>
      <c r="E5" s="88"/>
      <c r="F5" s="88"/>
      <c r="G5" s="88"/>
      <c r="H5" s="89"/>
      <c r="I5" s="109"/>
      <c r="J5" s="55"/>
      <c r="K5" s="56"/>
      <c r="L5" s="56"/>
      <c r="M5" s="57"/>
      <c r="N5" s="58"/>
      <c r="O5" s="39"/>
      <c r="P5" s="39"/>
      <c r="Q5" s="39"/>
      <c r="R5" s="40"/>
      <c r="S5" s="59"/>
      <c r="T5" s="107"/>
      <c r="U5" s="114"/>
      <c r="V5" s="114"/>
      <c r="W5" s="115"/>
      <c r="X5" s="116"/>
      <c r="Y5" s="43"/>
      <c r="Z5" s="43"/>
      <c r="AA5" s="44"/>
      <c r="AB5" s="107"/>
    </row>
    <row r="6" spans="1:28" ht="13.15" x14ac:dyDescent="0.4">
      <c r="A6" s="135" t="s">
        <v>30</v>
      </c>
      <c r="B6" s="136"/>
      <c r="C6" s="19">
        <v>5040</v>
      </c>
      <c r="D6" s="108"/>
      <c r="E6" s="88"/>
      <c r="F6" s="88"/>
      <c r="G6" s="88"/>
      <c r="H6" s="89"/>
      <c r="I6" s="109"/>
      <c r="J6" s="55"/>
      <c r="K6" s="56"/>
      <c r="L6" s="57"/>
      <c r="M6" s="57"/>
      <c r="N6" s="58"/>
      <c r="O6" s="39"/>
      <c r="P6" s="39"/>
      <c r="Q6" s="39"/>
      <c r="R6" s="40"/>
      <c r="S6" s="59"/>
      <c r="T6" s="107"/>
      <c r="U6" s="114"/>
      <c r="V6" s="115"/>
      <c r="W6" s="115"/>
      <c r="X6" s="116"/>
      <c r="Y6" s="43"/>
      <c r="Z6" s="43"/>
      <c r="AA6" s="44"/>
      <c r="AB6" s="107"/>
    </row>
    <row r="7" spans="1:28" ht="13.15" x14ac:dyDescent="0.4">
      <c r="A7" s="145" t="s">
        <v>6</v>
      </c>
      <c r="B7" s="146"/>
      <c r="C7" s="20">
        <v>75000</v>
      </c>
      <c r="D7" s="108"/>
      <c r="E7" s="88"/>
      <c r="F7" s="88"/>
      <c r="G7" s="88"/>
      <c r="H7" s="35"/>
      <c r="I7" s="109"/>
      <c r="J7" s="60"/>
      <c r="K7" s="61"/>
      <c r="L7" s="62"/>
      <c r="M7" s="62"/>
      <c r="N7" s="63"/>
      <c r="O7" s="64"/>
      <c r="P7" s="64"/>
      <c r="Q7" s="64"/>
      <c r="R7" s="55"/>
      <c r="S7" s="65"/>
      <c r="T7" s="117"/>
      <c r="U7" s="118"/>
      <c r="V7" s="119"/>
      <c r="W7" s="119"/>
      <c r="X7" s="120"/>
      <c r="Y7" s="121"/>
      <c r="Z7" s="121"/>
      <c r="AA7" s="122"/>
      <c r="AB7" s="122"/>
    </row>
    <row r="8" spans="1:28" ht="13.15" x14ac:dyDescent="0.4">
      <c r="A8" s="133" t="s">
        <v>7</v>
      </c>
      <c r="B8" s="134"/>
      <c r="C8" s="24">
        <v>0.45</v>
      </c>
      <c r="D8" s="108"/>
      <c r="E8" s="88"/>
      <c r="F8" s="88"/>
      <c r="G8" s="88"/>
      <c r="H8" s="35"/>
      <c r="I8" s="109"/>
      <c r="J8" s="60"/>
      <c r="K8" s="61"/>
      <c r="L8" s="62"/>
      <c r="M8" s="62"/>
      <c r="N8" s="66"/>
      <c r="O8" s="64"/>
      <c r="P8" s="64"/>
      <c r="Q8" s="64"/>
      <c r="R8" s="55"/>
      <c r="S8" s="65"/>
      <c r="T8" s="117"/>
      <c r="U8" s="118"/>
      <c r="V8" s="119"/>
      <c r="W8" s="119"/>
      <c r="X8" s="123"/>
      <c r="Y8" s="121"/>
      <c r="Z8" s="121"/>
      <c r="AA8" s="122"/>
      <c r="AB8" s="122"/>
    </row>
    <row r="9" spans="1:28" ht="13.15" x14ac:dyDescent="0.4">
      <c r="A9" s="139" t="s">
        <v>27</v>
      </c>
      <c r="B9" s="140"/>
      <c r="C9" s="15">
        <v>6.0000000000000001E-3</v>
      </c>
      <c r="D9" s="108"/>
      <c r="E9" s="88"/>
      <c r="F9" s="88"/>
      <c r="G9" s="88"/>
      <c r="H9" s="35"/>
      <c r="I9" s="109"/>
      <c r="J9" s="60"/>
      <c r="K9" s="61"/>
      <c r="L9" s="62"/>
      <c r="M9" s="62"/>
      <c r="N9" s="66"/>
      <c r="O9" s="64"/>
      <c r="P9" s="64"/>
      <c r="Q9" s="64"/>
      <c r="R9" s="55"/>
      <c r="S9" s="65"/>
      <c r="T9" s="117"/>
      <c r="U9" s="118"/>
      <c r="V9" s="119"/>
      <c r="W9" s="119"/>
      <c r="X9" s="123"/>
      <c r="Y9" s="121"/>
      <c r="Z9" s="121"/>
      <c r="AA9" s="122"/>
      <c r="AB9" s="122"/>
    </row>
    <row r="10" spans="1:28" ht="13.5" thickBot="1" x14ac:dyDescent="0.4">
      <c r="A10" s="36" t="s">
        <v>25</v>
      </c>
      <c r="B10" s="37"/>
      <c r="C10" s="16">
        <f>C9*C1</f>
        <v>1500</v>
      </c>
      <c r="D10" s="108"/>
      <c r="E10" s="89"/>
      <c r="F10" s="89"/>
      <c r="G10" s="89"/>
      <c r="H10" s="110"/>
      <c r="I10" s="111"/>
      <c r="J10" s="60"/>
      <c r="K10" s="67"/>
      <c r="L10" s="68"/>
      <c r="M10" s="68"/>
      <c r="N10" s="68"/>
      <c r="O10" s="68"/>
      <c r="P10" s="68"/>
      <c r="Q10" s="68"/>
      <c r="R10" s="69"/>
      <c r="S10" s="70"/>
      <c r="T10" s="117"/>
      <c r="U10" s="124"/>
      <c r="V10" s="125"/>
      <c r="W10" s="125"/>
      <c r="X10" s="125"/>
      <c r="Y10" s="125"/>
      <c r="Z10" s="125"/>
      <c r="AA10" s="122"/>
      <c r="AB10" s="122"/>
    </row>
    <row r="11" spans="1:28" ht="51.4" thickBot="1" x14ac:dyDescent="0.4">
      <c r="A11" s="92" t="s">
        <v>8</v>
      </c>
      <c r="B11" s="93" t="s">
        <v>9</v>
      </c>
      <c r="C11" s="94" t="s">
        <v>26</v>
      </c>
      <c r="D11" s="112" t="s">
        <v>11</v>
      </c>
      <c r="E11" s="112" t="s">
        <v>12</v>
      </c>
      <c r="F11" s="112" t="s">
        <v>13</v>
      </c>
      <c r="G11" s="112" t="s">
        <v>14</v>
      </c>
      <c r="H11" s="47" t="s">
        <v>15</v>
      </c>
      <c r="I11" s="48" t="s">
        <v>16</v>
      </c>
      <c r="J11" s="100"/>
      <c r="K11" s="101" t="s">
        <v>8</v>
      </c>
      <c r="L11" s="102" t="s">
        <v>9</v>
      </c>
      <c r="M11" s="102" t="s">
        <v>10</v>
      </c>
      <c r="N11" s="71" t="s">
        <v>11</v>
      </c>
      <c r="O11" s="71" t="s">
        <v>12</v>
      </c>
      <c r="P11" s="71" t="s">
        <v>13</v>
      </c>
      <c r="Q11" s="71" t="s">
        <v>14</v>
      </c>
      <c r="R11" s="80" t="s">
        <v>15</v>
      </c>
      <c r="S11" s="81" t="s">
        <v>16</v>
      </c>
      <c r="T11" s="100"/>
      <c r="U11" s="101" t="s">
        <v>8</v>
      </c>
      <c r="V11" s="102" t="s">
        <v>9</v>
      </c>
      <c r="W11" s="102" t="s">
        <v>10</v>
      </c>
      <c r="X11" s="126" t="s">
        <v>31</v>
      </c>
      <c r="Y11" s="127" t="s">
        <v>13</v>
      </c>
      <c r="Z11" s="127" t="s">
        <v>14</v>
      </c>
      <c r="AA11" s="74" t="s">
        <v>15</v>
      </c>
      <c r="AB11" s="130" t="s">
        <v>16</v>
      </c>
    </row>
    <row r="12" spans="1:28" x14ac:dyDescent="0.35">
      <c r="A12" s="95">
        <v>0</v>
      </c>
      <c r="B12" s="96"/>
      <c r="C12" s="97"/>
      <c r="D12" s="90"/>
      <c r="E12" s="90"/>
      <c r="F12" s="90">
        <f>$C$1</f>
        <v>250000</v>
      </c>
      <c r="G12" s="90"/>
      <c r="H12" s="49"/>
      <c r="I12" s="50"/>
      <c r="J12" s="38"/>
      <c r="K12" s="95">
        <v>0</v>
      </c>
      <c r="L12" s="97"/>
      <c r="M12" s="97"/>
      <c r="N12" s="41"/>
      <c r="O12" s="41"/>
      <c r="P12" s="41">
        <f>$C$1</f>
        <v>250000</v>
      </c>
      <c r="Q12" s="41"/>
      <c r="R12" s="82"/>
      <c r="S12" s="83"/>
      <c r="T12" s="38"/>
      <c r="U12" s="95">
        <v>0</v>
      </c>
      <c r="V12" s="97"/>
      <c r="W12" s="97"/>
      <c r="X12" s="45"/>
      <c r="Y12" s="45">
        <f>$C$1</f>
        <v>250000</v>
      </c>
      <c r="Z12" s="45"/>
      <c r="AA12" s="75"/>
      <c r="AB12" s="76"/>
    </row>
    <row r="13" spans="1:28" x14ac:dyDescent="0.35">
      <c r="A13" s="95">
        <v>1</v>
      </c>
      <c r="B13" s="98">
        <f t="shared" ref="B13:B42" si="0">IF(A13&lt;=$C$3,$C$7,"-")</f>
        <v>75000</v>
      </c>
      <c r="C13" s="99">
        <f t="shared" ref="C13:C42" si="1">IF(A13&lt;=$C$3,$C$2,"-")</f>
        <v>0.06</v>
      </c>
      <c r="D13" s="90">
        <f t="shared" ref="D13:D42" si="2">IF(G13&gt;0,C13*F12/12 +C13*(F12-G13/12)/12+C13*(F12-2*G13/12)/12+C13*(F12-3*G13/12)/12+C13*(F12-4*G13/12)/12+C13*(F12-5*G13/12)/12+C13*(F12-6*G13/12)/12+C13*(F12-7*G13/12)/12+C13*(F12-8*G13/12)/12+C13*(F12-9*G13/12)/12+C13*(F12-10*G13/12)/12+C13*(F12-11*G13/12)/12,0)</f>
        <v>14725</v>
      </c>
      <c r="E13" s="90">
        <f>IF(D13&gt;$C$10,$C$8*(D13-$C$10),0)</f>
        <v>5951.25</v>
      </c>
      <c r="F13" s="90">
        <f t="shared" ref="F13:F42" si="3">IF(G13&gt;1,F12-G13,0)</f>
        <v>240000</v>
      </c>
      <c r="G13" s="90">
        <f t="shared" ref="G13:G42" si="4">IF(F12&gt;1,$C$1/$C$3,0)</f>
        <v>10000</v>
      </c>
      <c r="H13" s="49">
        <f t="shared" ref="H13:H42" si="5">IF(G13&gt;0,(D13+$C$4+G13)/12,0)</f>
        <v>2122.9166666666665</v>
      </c>
      <c r="I13" s="50">
        <f t="shared" ref="I13:I42" si="6">(12*H13-E13)/12</f>
        <v>1626.9791666666667</v>
      </c>
      <c r="J13" s="103"/>
      <c r="K13" s="104">
        <v>1</v>
      </c>
      <c r="L13" s="98">
        <f t="shared" ref="L13:L42" si="7">IF(K13&lt;=$C$3,$C$7,"-")</f>
        <v>75000</v>
      </c>
      <c r="M13" s="105">
        <f t="shared" ref="M13:M42" si="8">IF(K13&lt;=$C$3,$C$2,"-")</f>
        <v>0.06</v>
      </c>
      <c r="N13" s="41">
        <f>M65</f>
        <v>14878.944698261841</v>
      </c>
      <c r="O13" s="41">
        <f>IF(N13&gt;$C$10,$C$8*(N13-$C$10),0)</f>
        <v>6020.5251142178286</v>
      </c>
      <c r="P13" s="41">
        <f t="shared" ref="P13:P42" si="9">IF(Q13&gt;1,P12-Q13,0)</f>
        <v>245549.90265369634</v>
      </c>
      <c r="Q13" s="41">
        <f>IF(P12&gt;1,N65,"-")</f>
        <v>4450.097346303668</v>
      </c>
      <c r="R13" s="82">
        <f t="shared" ref="R13:R42" si="10">IF(Q13&gt;0,(N13+$C$5+Q13)/12,0)</f>
        <v>1692.0035037137925</v>
      </c>
      <c r="S13" s="83">
        <f t="shared" ref="S13:S42" si="11">(12*R13-O13)/12</f>
        <v>1190.2930775289735</v>
      </c>
      <c r="T13" s="103"/>
      <c r="U13" s="104">
        <v>1</v>
      </c>
      <c r="V13" s="98">
        <f t="shared" ref="V13:V42" si="12">IF(U13&lt;=$C$3,$C$7,"-")</f>
        <v>75000</v>
      </c>
      <c r="W13" s="105">
        <f t="shared" ref="W13:W42" si="13">IF(U13&lt;=$C$3,$C$2,"-")</f>
        <v>0.06</v>
      </c>
      <c r="X13" s="45">
        <f t="shared" ref="X13:X42" si="14">IF(U13&lt;=$C$3,W13*$C$1,0)</f>
        <v>15000</v>
      </c>
      <c r="Y13" s="45">
        <f t="shared" ref="Y13:Y42" si="15">IF(U13&lt;=$C$3,$C$1,0)</f>
        <v>250000</v>
      </c>
      <c r="Z13" s="45">
        <f t="shared" ref="Z13:Z42" si="16">IF(U13&lt;=$C$3,Y12-Y13,0)</f>
        <v>0</v>
      </c>
      <c r="AA13" s="75">
        <f t="shared" ref="AA13:AA42" si="17">IF(Y13&gt;0,(X13+$C$6+Z13)/12,0)</f>
        <v>1670</v>
      </c>
      <c r="AB13" s="76">
        <f>AA13</f>
        <v>1670</v>
      </c>
    </row>
    <row r="14" spans="1:28" x14ac:dyDescent="0.35">
      <c r="A14" s="95">
        <f t="shared" ref="A14:A42" si="18">IF(A13=0,"-",IF(A13&lt;$C$3,A13+1,"-"))</f>
        <v>2</v>
      </c>
      <c r="B14" s="98">
        <f t="shared" si="0"/>
        <v>75000</v>
      </c>
      <c r="C14" s="99">
        <f t="shared" si="1"/>
        <v>0.06</v>
      </c>
      <c r="D14" s="90">
        <f t="shared" si="2"/>
        <v>14125</v>
      </c>
      <c r="E14" s="90">
        <f t="shared" ref="E14:E42" si="19">IF(D14&gt;$C$10,$C$8*(D14-$C$10),0)</f>
        <v>5681.25</v>
      </c>
      <c r="F14" s="90">
        <f t="shared" si="3"/>
        <v>230000</v>
      </c>
      <c r="G14" s="90">
        <f t="shared" si="4"/>
        <v>10000</v>
      </c>
      <c r="H14" s="49">
        <f t="shared" si="5"/>
        <v>2072.9166666666665</v>
      </c>
      <c r="I14" s="50">
        <f t="shared" si="6"/>
        <v>1599.4791666666667</v>
      </c>
      <c r="J14" s="103"/>
      <c r="K14" s="104">
        <f t="shared" ref="K14:K42" si="20">IF(K13=0,"-",IF(K13&lt;$C$3,K13+1,"-"))</f>
        <v>2</v>
      </c>
      <c r="L14" s="98">
        <f t="shared" si="7"/>
        <v>75000</v>
      </c>
      <c r="M14" s="105">
        <f t="shared" si="8"/>
        <v>0.06</v>
      </c>
      <c r="N14" s="41">
        <f t="shared" ref="N14:N42" si="21">IF(Q14&gt;0,$O$65-Q14,0)</f>
        <v>14604.472431357826</v>
      </c>
      <c r="O14" s="41">
        <f t="shared" ref="O14:O42" si="22">IF(N14&gt;$C$10,$C$8*(N14-$C$10),0)</f>
        <v>5897.0125941110218</v>
      </c>
      <c r="P14" s="41">
        <f t="shared" si="9"/>
        <v>240825.33304048865</v>
      </c>
      <c r="Q14" s="41">
        <f t="shared" ref="Q14:Q42" si="23">IF(P13&gt;1,Q13*(1+$C$2/12)^12,0)</f>
        <v>4724.5696132076855</v>
      </c>
      <c r="R14" s="82">
        <f t="shared" si="10"/>
        <v>1692.0035037137925</v>
      </c>
      <c r="S14" s="83">
        <f t="shared" si="11"/>
        <v>1200.585787537874</v>
      </c>
      <c r="T14" s="103"/>
      <c r="U14" s="104">
        <f t="shared" ref="U14:U42" si="24">IF(U13=0,"-",IF(U13&lt;$C$3,U13+1,"-"))</f>
        <v>2</v>
      </c>
      <c r="V14" s="98">
        <f t="shared" si="12"/>
        <v>75000</v>
      </c>
      <c r="W14" s="105">
        <f t="shared" si="13"/>
        <v>0.06</v>
      </c>
      <c r="X14" s="45">
        <f t="shared" si="14"/>
        <v>15000</v>
      </c>
      <c r="Y14" s="45">
        <f t="shared" si="15"/>
        <v>250000</v>
      </c>
      <c r="Z14" s="45">
        <f t="shared" si="16"/>
        <v>0</v>
      </c>
      <c r="AA14" s="75">
        <f t="shared" si="17"/>
        <v>1670</v>
      </c>
      <c r="AB14" s="76">
        <f t="shared" ref="AB14:AB41" si="25">AA14</f>
        <v>1670</v>
      </c>
    </row>
    <row r="15" spans="1:28" x14ac:dyDescent="0.35">
      <c r="A15" s="95">
        <f t="shared" si="18"/>
        <v>3</v>
      </c>
      <c r="B15" s="98">
        <f t="shared" si="0"/>
        <v>75000</v>
      </c>
      <c r="C15" s="99">
        <f t="shared" si="1"/>
        <v>0.06</v>
      </c>
      <c r="D15" s="90">
        <f t="shared" si="2"/>
        <v>13525</v>
      </c>
      <c r="E15" s="90">
        <f t="shared" si="19"/>
        <v>5411.25</v>
      </c>
      <c r="F15" s="90">
        <f t="shared" si="3"/>
        <v>220000</v>
      </c>
      <c r="G15" s="90">
        <f t="shared" si="4"/>
        <v>10000</v>
      </c>
      <c r="H15" s="49">
        <f t="shared" si="5"/>
        <v>2022.9166666666667</v>
      </c>
      <c r="I15" s="50">
        <f t="shared" si="6"/>
        <v>1571.9791666666667</v>
      </c>
      <c r="J15" s="103"/>
      <c r="K15" s="104">
        <f t="shared" si="20"/>
        <v>3</v>
      </c>
      <c r="L15" s="98">
        <f t="shared" si="7"/>
        <v>75000</v>
      </c>
      <c r="M15" s="105">
        <f t="shared" si="8"/>
        <v>0.06</v>
      </c>
      <c r="N15" s="41">
        <f t="shared" si="21"/>
        <v>14313.071315613681</v>
      </c>
      <c r="O15" s="41">
        <f t="shared" si="22"/>
        <v>5765.8820920261569</v>
      </c>
      <c r="P15" s="41">
        <f t="shared" si="9"/>
        <v>235809.36231153682</v>
      </c>
      <c r="Q15" s="41">
        <f t="shared" si="23"/>
        <v>5015.970728951831</v>
      </c>
      <c r="R15" s="82">
        <f t="shared" si="10"/>
        <v>1692.0035037137925</v>
      </c>
      <c r="S15" s="83">
        <f t="shared" si="11"/>
        <v>1211.5133293782794</v>
      </c>
      <c r="T15" s="103"/>
      <c r="U15" s="104">
        <f t="shared" si="24"/>
        <v>3</v>
      </c>
      <c r="V15" s="98">
        <f t="shared" si="12"/>
        <v>75000</v>
      </c>
      <c r="W15" s="105">
        <f t="shared" si="13"/>
        <v>0.06</v>
      </c>
      <c r="X15" s="45">
        <f t="shared" si="14"/>
        <v>15000</v>
      </c>
      <c r="Y15" s="45">
        <f t="shared" si="15"/>
        <v>250000</v>
      </c>
      <c r="Z15" s="45">
        <f t="shared" si="16"/>
        <v>0</v>
      </c>
      <c r="AA15" s="75">
        <f t="shared" si="17"/>
        <v>1670</v>
      </c>
      <c r="AB15" s="76">
        <f t="shared" si="25"/>
        <v>1670</v>
      </c>
    </row>
    <row r="16" spans="1:28" x14ac:dyDescent="0.35">
      <c r="A16" s="95">
        <f t="shared" si="18"/>
        <v>4</v>
      </c>
      <c r="B16" s="98">
        <f t="shared" si="0"/>
        <v>75000</v>
      </c>
      <c r="C16" s="99">
        <f t="shared" si="1"/>
        <v>0.06</v>
      </c>
      <c r="D16" s="90">
        <f t="shared" si="2"/>
        <v>12925</v>
      </c>
      <c r="E16" s="90">
        <f t="shared" si="19"/>
        <v>5141.25</v>
      </c>
      <c r="F16" s="90">
        <f t="shared" si="3"/>
        <v>210000</v>
      </c>
      <c r="G16" s="90">
        <f t="shared" si="4"/>
        <v>10000</v>
      </c>
      <c r="H16" s="49">
        <f t="shared" si="5"/>
        <v>1972.9166666666667</v>
      </c>
      <c r="I16" s="50">
        <f t="shared" si="6"/>
        <v>1544.4791666666667</v>
      </c>
      <c r="J16" s="103"/>
      <c r="K16" s="104">
        <f t="shared" si="20"/>
        <v>4</v>
      </c>
      <c r="L16" s="98">
        <f t="shared" si="7"/>
        <v>75000</v>
      </c>
      <c r="M16" s="105">
        <f t="shared" si="8"/>
        <v>0.06</v>
      </c>
      <c r="N16" s="41">
        <f t="shared" si="21"/>
        <v>14003.697216675562</v>
      </c>
      <c r="O16" s="41">
        <f t="shared" si="22"/>
        <v>5626.6637475040034</v>
      </c>
      <c r="P16" s="41">
        <f t="shared" si="9"/>
        <v>230484.01748364687</v>
      </c>
      <c r="Q16" s="41">
        <f t="shared" si="23"/>
        <v>5325.3448278899486</v>
      </c>
      <c r="R16" s="82">
        <f t="shared" si="10"/>
        <v>1692.0035037137925</v>
      </c>
      <c r="S16" s="83">
        <f t="shared" si="11"/>
        <v>1223.114858088459</v>
      </c>
      <c r="T16" s="103"/>
      <c r="U16" s="104">
        <f t="shared" si="24"/>
        <v>4</v>
      </c>
      <c r="V16" s="98">
        <f t="shared" si="12"/>
        <v>75000</v>
      </c>
      <c r="W16" s="105">
        <f t="shared" si="13"/>
        <v>0.06</v>
      </c>
      <c r="X16" s="45">
        <f t="shared" si="14"/>
        <v>15000</v>
      </c>
      <c r="Y16" s="45">
        <f t="shared" si="15"/>
        <v>250000</v>
      </c>
      <c r="Z16" s="45">
        <f t="shared" si="16"/>
        <v>0</v>
      </c>
      <c r="AA16" s="75">
        <f t="shared" si="17"/>
        <v>1670</v>
      </c>
      <c r="AB16" s="76">
        <f t="shared" si="25"/>
        <v>1670</v>
      </c>
    </row>
    <row r="17" spans="1:28" x14ac:dyDescent="0.35">
      <c r="A17" s="95">
        <f t="shared" si="18"/>
        <v>5</v>
      </c>
      <c r="B17" s="98">
        <f t="shared" si="0"/>
        <v>75000</v>
      </c>
      <c r="C17" s="99">
        <f t="shared" si="1"/>
        <v>0.06</v>
      </c>
      <c r="D17" s="90">
        <f t="shared" si="2"/>
        <v>12325</v>
      </c>
      <c r="E17" s="90">
        <f t="shared" si="19"/>
        <v>4871.25</v>
      </c>
      <c r="F17" s="90">
        <f t="shared" si="3"/>
        <v>200000</v>
      </c>
      <c r="G17" s="90">
        <f t="shared" si="4"/>
        <v>10000</v>
      </c>
      <c r="H17" s="49">
        <f t="shared" si="5"/>
        <v>1922.9166666666667</v>
      </c>
      <c r="I17" s="50">
        <f t="shared" si="6"/>
        <v>1516.9791666666667</v>
      </c>
      <c r="J17" s="103"/>
      <c r="K17" s="104">
        <f t="shared" si="20"/>
        <v>5</v>
      </c>
      <c r="L17" s="98">
        <f t="shared" si="7"/>
        <v>75000</v>
      </c>
      <c r="M17" s="105">
        <f t="shared" si="8"/>
        <v>0.06</v>
      </c>
      <c r="N17" s="41">
        <f t="shared" si="21"/>
        <v>13675.241600267391</v>
      </c>
      <c r="O17" s="41">
        <f t="shared" si="22"/>
        <v>5478.8587201203263</v>
      </c>
      <c r="P17" s="41">
        <f t="shared" si="9"/>
        <v>224830.21703934873</v>
      </c>
      <c r="Q17" s="41">
        <f t="shared" si="23"/>
        <v>5653.8004442981201</v>
      </c>
      <c r="R17" s="82">
        <f t="shared" si="10"/>
        <v>1692.0035037137925</v>
      </c>
      <c r="S17" s="83">
        <f t="shared" si="11"/>
        <v>1235.4319437037655</v>
      </c>
      <c r="T17" s="103"/>
      <c r="U17" s="104">
        <f t="shared" si="24"/>
        <v>5</v>
      </c>
      <c r="V17" s="98">
        <f t="shared" si="12"/>
        <v>75000</v>
      </c>
      <c r="W17" s="105">
        <f t="shared" si="13"/>
        <v>0.06</v>
      </c>
      <c r="X17" s="45">
        <f t="shared" si="14"/>
        <v>15000</v>
      </c>
      <c r="Y17" s="45">
        <f t="shared" si="15"/>
        <v>250000</v>
      </c>
      <c r="Z17" s="45">
        <f t="shared" si="16"/>
        <v>0</v>
      </c>
      <c r="AA17" s="75">
        <f t="shared" si="17"/>
        <v>1670</v>
      </c>
      <c r="AB17" s="76">
        <f t="shared" si="25"/>
        <v>1670</v>
      </c>
    </row>
    <row r="18" spans="1:28" x14ac:dyDescent="0.35">
      <c r="A18" s="95">
        <f t="shared" si="18"/>
        <v>6</v>
      </c>
      <c r="B18" s="98">
        <f t="shared" si="0"/>
        <v>75000</v>
      </c>
      <c r="C18" s="99">
        <f t="shared" si="1"/>
        <v>0.06</v>
      </c>
      <c r="D18" s="90">
        <f t="shared" si="2"/>
        <v>11725</v>
      </c>
      <c r="E18" s="90">
        <f t="shared" si="19"/>
        <v>4601.25</v>
      </c>
      <c r="F18" s="90">
        <f t="shared" si="3"/>
        <v>190000</v>
      </c>
      <c r="G18" s="90">
        <f t="shared" si="4"/>
        <v>10000</v>
      </c>
      <c r="H18" s="49">
        <f t="shared" si="5"/>
        <v>1872.9166666666667</v>
      </c>
      <c r="I18" s="50">
        <f t="shared" si="6"/>
        <v>1489.4791666666667</v>
      </c>
      <c r="J18" s="103"/>
      <c r="K18" s="104">
        <f t="shared" si="20"/>
        <v>6</v>
      </c>
      <c r="L18" s="98">
        <f t="shared" si="7"/>
        <v>75000</v>
      </c>
      <c r="M18" s="105">
        <f t="shared" si="8"/>
        <v>0.06</v>
      </c>
      <c r="N18" s="41">
        <f t="shared" si="21"/>
        <v>13326.527560144557</v>
      </c>
      <c r="O18" s="41">
        <f t="shared" si="22"/>
        <v>5321.9374020650512</v>
      </c>
      <c r="P18" s="41">
        <f t="shared" si="9"/>
        <v>218827.70255492779</v>
      </c>
      <c r="Q18" s="41">
        <f t="shared" si="23"/>
        <v>6002.5144844209526</v>
      </c>
      <c r="R18" s="82">
        <f t="shared" si="10"/>
        <v>1692.0035037137925</v>
      </c>
      <c r="S18" s="83">
        <f t="shared" si="11"/>
        <v>1248.5087202083716</v>
      </c>
      <c r="T18" s="103"/>
      <c r="U18" s="104">
        <f t="shared" si="24"/>
        <v>6</v>
      </c>
      <c r="V18" s="98">
        <f t="shared" si="12"/>
        <v>75000</v>
      </c>
      <c r="W18" s="105">
        <f t="shared" si="13"/>
        <v>0.06</v>
      </c>
      <c r="X18" s="45">
        <f t="shared" si="14"/>
        <v>15000</v>
      </c>
      <c r="Y18" s="45">
        <f t="shared" si="15"/>
        <v>250000</v>
      </c>
      <c r="Z18" s="45">
        <f t="shared" si="16"/>
        <v>0</v>
      </c>
      <c r="AA18" s="75">
        <f t="shared" si="17"/>
        <v>1670</v>
      </c>
      <c r="AB18" s="76">
        <f t="shared" si="25"/>
        <v>1670</v>
      </c>
    </row>
    <row r="19" spans="1:28" x14ac:dyDescent="0.35">
      <c r="A19" s="95">
        <f t="shared" si="18"/>
        <v>7</v>
      </c>
      <c r="B19" s="98">
        <f t="shared" si="0"/>
        <v>75000</v>
      </c>
      <c r="C19" s="99">
        <f t="shared" si="1"/>
        <v>0.06</v>
      </c>
      <c r="D19" s="90">
        <f t="shared" si="2"/>
        <v>11125</v>
      </c>
      <c r="E19" s="90">
        <f t="shared" si="19"/>
        <v>4331.25</v>
      </c>
      <c r="F19" s="90">
        <f t="shared" si="3"/>
        <v>180000</v>
      </c>
      <c r="G19" s="90">
        <f t="shared" si="4"/>
        <v>10000</v>
      </c>
      <c r="H19" s="49">
        <f t="shared" si="5"/>
        <v>1822.9166666666667</v>
      </c>
      <c r="I19" s="50">
        <f t="shared" si="6"/>
        <v>1461.9791666666667</v>
      </c>
      <c r="J19" s="103"/>
      <c r="K19" s="104">
        <f t="shared" si="20"/>
        <v>7</v>
      </c>
      <c r="L19" s="98">
        <f t="shared" si="7"/>
        <v>75000</v>
      </c>
      <c r="M19" s="105">
        <f t="shared" si="8"/>
        <v>0.06</v>
      </c>
      <c r="N19" s="41">
        <f t="shared" si="21"/>
        <v>12956.305601060521</v>
      </c>
      <c r="O19" s="41">
        <f t="shared" si="22"/>
        <v>5155.3375204772346</v>
      </c>
      <c r="P19" s="41">
        <f t="shared" si="9"/>
        <v>212454.96611142281</v>
      </c>
      <c r="Q19" s="41">
        <f t="shared" si="23"/>
        <v>6372.7364435049903</v>
      </c>
      <c r="R19" s="82">
        <f t="shared" si="10"/>
        <v>1692.0035037137925</v>
      </c>
      <c r="S19" s="83">
        <f t="shared" si="11"/>
        <v>1262.3920436740229</v>
      </c>
      <c r="T19" s="103"/>
      <c r="U19" s="104">
        <f t="shared" si="24"/>
        <v>7</v>
      </c>
      <c r="V19" s="98">
        <f t="shared" si="12"/>
        <v>75000</v>
      </c>
      <c r="W19" s="105">
        <f t="shared" si="13"/>
        <v>0.06</v>
      </c>
      <c r="X19" s="45">
        <f t="shared" si="14"/>
        <v>15000</v>
      </c>
      <c r="Y19" s="45">
        <f t="shared" si="15"/>
        <v>250000</v>
      </c>
      <c r="Z19" s="45">
        <f t="shared" si="16"/>
        <v>0</v>
      </c>
      <c r="AA19" s="75">
        <f t="shared" si="17"/>
        <v>1670</v>
      </c>
      <c r="AB19" s="76">
        <f t="shared" si="25"/>
        <v>1670</v>
      </c>
    </row>
    <row r="20" spans="1:28" x14ac:dyDescent="0.35">
      <c r="A20" s="95">
        <f t="shared" si="18"/>
        <v>8</v>
      </c>
      <c r="B20" s="98">
        <f t="shared" si="0"/>
        <v>75000</v>
      </c>
      <c r="C20" s="99">
        <f t="shared" si="1"/>
        <v>0.06</v>
      </c>
      <c r="D20" s="90">
        <f t="shared" si="2"/>
        <v>10525</v>
      </c>
      <c r="E20" s="90">
        <f t="shared" si="19"/>
        <v>4061.25</v>
      </c>
      <c r="F20" s="90">
        <f t="shared" si="3"/>
        <v>170000</v>
      </c>
      <c r="G20" s="90">
        <f t="shared" si="4"/>
        <v>10000</v>
      </c>
      <c r="H20" s="49">
        <f t="shared" si="5"/>
        <v>1772.9166666666667</v>
      </c>
      <c r="I20" s="50">
        <f t="shared" si="6"/>
        <v>1434.4791666666667</v>
      </c>
      <c r="J20" s="103"/>
      <c r="K20" s="104">
        <f t="shared" si="20"/>
        <v>8</v>
      </c>
      <c r="L20" s="98">
        <f t="shared" si="7"/>
        <v>75000</v>
      </c>
      <c r="M20" s="105">
        <f t="shared" si="8"/>
        <v>0.06</v>
      </c>
      <c r="N20" s="41">
        <f t="shared" si="21"/>
        <v>12563.249161635991</v>
      </c>
      <c r="O20" s="41">
        <f t="shared" si="22"/>
        <v>4978.4621227361959</v>
      </c>
      <c r="P20" s="41">
        <f t="shared" si="9"/>
        <v>205689.17322849328</v>
      </c>
      <c r="Q20" s="41">
        <f t="shared" si="23"/>
        <v>6765.7928829295188</v>
      </c>
      <c r="R20" s="82">
        <f t="shared" si="10"/>
        <v>1692.0035037137925</v>
      </c>
      <c r="S20" s="83">
        <f t="shared" si="11"/>
        <v>1277.1316601524429</v>
      </c>
      <c r="T20" s="103"/>
      <c r="U20" s="104">
        <f t="shared" si="24"/>
        <v>8</v>
      </c>
      <c r="V20" s="98">
        <f t="shared" si="12"/>
        <v>75000</v>
      </c>
      <c r="W20" s="105">
        <f t="shared" si="13"/>
        <v>0.06</v>
      </c>
      <c r="X20" s="45">
        <f t="shared" si="14"/>
        <v>15000</v>
      </c>
      <c r="Y20" s="45">
        <f t="shared" si="15"/>
        <v>250000</v>
      </c>
      <c r="Z20" s="45">
        <f t="shared" si="16"/>
        <v>0</v>
      </c>
      <c r="AA20" s="75">
        <f t="shared" si="17"/>
        <v>1670</v>
      </c>
      <c r="AB20" s="76">
        <f t="shared" si="25"/>
        <v>1670</v>
      </c>
    </row>
    <row r="21" spans="1:28" x14ac:dyDescent="0.35">
      <c r="A21" s="95">
        <f t="shared" si="18"/>
        <v>9</v>
      </c>
      <c r="B21" s="98">
        <f t="shared" si="0"/>
        <v>75000</v>
      </c>
      <c r="C21" s="99">
        <f t="shared" si="1"/>
        <v>0.06</v>
      </c>
      <c r="D21" s="90">
        <f t="shared" si="2"/>
        <v>9925</v>
      </c>
      <c r="E21" s="90">
        <f t="shared" si="19"/>
        <v>3791.25</v>
      </c>
      <c r="F21" s="90">
        <f t="shared" si="3"/>
        <v>160000</v>
      </c>
      <c r="G21" s="90">
        <f t="shared" si="4"/>
        <v>10000</v>
      </c>
      <c r="H21" s="49">
        <f t="shared" si="5"/>
        <v>1722.9166666666667</v>
      </c>
      <c r="I21" s="50">
        <f t="shared" si="6"/>
        <v>1406.9791666666667</v>
      </c>
      <c r="J21" s="103"/>
      <c r="K21" s="104">
        <f t="shared" si="20"/>
        <v>9</v>
      </c>
      <c r="L21" s="98">
        <f t="shared" si="7"/>
        <v>75000</v>
      </c>
      <c r="M21" s="105">
        <f t="shared" si="8"/>
        <v>0.06</v>
      </c>
      <c r="N21" s="41">
        <f t="shared" si="21"/>
        <v>12145.949861088509</v>
      </c>
      <c r="O21" s="41">
        <f t="shared" si="22"/>
        <v>4790.6774374898296</v>
      </c>
      <c r="P21" s="41">
        <f t="shared" si="9"/>
        <v>198506.08104501627</v>
      </c>
      <c r="Q21" s="41">
        <f t="shared" si="23"/>
        <v>7183.0921834770024</v>
      </c>
      <c r="R21" s="82">
        <f t="shared" si="10"/>
        <v>1692.0035037137925</v>
      </c>
      <c r="S21" s="83">
        <f t="shared" si="11"/>
        <v>1292.7803839229734</v>
      </c>
      <c r="T21" s="103"/>
      <c r="U21" s="104">
        <f t="shared" si="24"/>
        <v>9</v>
      </c>
      <c r="V21" s="98">
        <f t="shared" si="12"/>
        <v>75000</v>
      </c>
      <c r="W21" s="105">
        <f t="shared" si="13"/>
        <v>0.06</v>
      </c>
      <c r="X21" s="45">
        <f t="shared" si="14"/>
        <v>15000</v>
      </c>
      <c r="Y21" s="45">
        <f t="shared" si="15"/>
        <v>250000</v>
      </c>
      <c r="Z21" s="45">
        <f t="shared" si="16"/>
        <v>0</v>
      </c>
      <c r="AA21" s="75">
        <f t="shared" si="17"/>
        <v>1670</v>
      </c>
      <c r="AB21" s="76">
        <f t="shared" si="25"/>
        <v>1670</v>
      </c>
    </row>
    <row r="22" spans="1:28" x14ac:dyDescent="0.35">
      <c r="A22" s="95">
        <f t="shared" si="18"/>
        <v>10</v>
      </c>
      <c r="B22" s="98">
        <f t="shared" si="0"/>
        <v>75000</v>
      </c>
      <c r="C22" s="99">
        <f t="shared" si="1"/>
        <v>0.06</v>
      </c>
      <c r="D22" s="90">
        <f t="shared" si="2"/>
        <v>9324.9999999999982</v>
      </c>
      <c r="E22" s="90">
        <f t="shared" si="19"/>
        <v>3521.2499999999991</v>
      </c>
      <c r="F22" s="90">
        <f t="shared" si="3"/>
        <v>150000</v>
      </c>
      <c r="G22" s="90">
        <f t="shared" si="4"/>
        <v>10000</v>
      </c>
      <c r="H22" s="49">
        <f t="shared" si="5"/>
        <v>1672.9166666666667</v>
      </c>
      <c r="I22" s="50">
        <f t="shared" si="6"/>
        <v>1379.4791666666667</v>
      </c>
      <c r="J22" s="103"/>
      <c r="K22" s="104">
        <f t="shared" si="20"/>
        <v>10</v>
      </c>
      <c r="L22" s="98">
        <f t="shared" si="7"/>
        <v>75000</v>
      </c>
      <c r="M22" s="105">
        <f t="shared" si="8"/>
        <v>0.06</v>
      </c>
      <c r="N22" s="41">
        <f t="shared" si="21"/>
        <v>11702.912452790672</v>
      </c>
      <c r="O22" s="41">
        <f t="shared" si="22"/>
        <v>4591.3106037558027</v>
      </c>
      <c r="P22" s="41">
        <f t="shared" si="9"/>
        <v>190879.95145324143</v>
      </c>
      <c r="Q22" s="41">
        <f t="shared" si="23"/>
        <v>7626.1295917748403</v>
      </c>
      <c r="R22" s="82">
        <f t="shared" si="10"/>
        <v>1692.0035037137925</v>
      </c>
      <c r="S22" s="83">
        <f t="shared" si="11"/>
        <v>1309.3942867341423</v>
      </c>
      <c r="T22" s="103"/>
      <c r="U22" s="104">
        <f t="shared" si="24"/>
        <v>10</v>
      </c>
      <c r="V22" s="98">
        <f t="shared" si="12"/>
        <v>75000</v>
      </c>
      <c r="W22" s="105">
        <f t="shared" si="13"/>
        <v>0.06</v>
      </c>
      <c r="X22" s="45">
        <f t="shared" si="14"/>
        <v>15000</v>
      </c>
      <c r="Y22" s="45">
        <f t="shared" si="15"/>
        <v>250000</v>
      </c>
      <c r="Z22" s="45">
        <f t="shared" si="16"/>
        <v>0</v>
      </c>
      <c r="AA22" s="75">
        <f t="shared" si="17"/>
        <v>1670</v>
      </c>
      <c r="AB22" s="76">
        <f t="shared" si="25"/>
        <v>1670</v>
      </c>
    </row>
    <row r="23" spans="1:28" x14ac:dyDescent="0.35">
      <c r="A23" s="95">
        <f t="shared" si="18"/>
        <v>11</v>
      </c>
      <c r="B23" s="98">
        <f t="shared" si="0"/>
        <v>75000</v>
      </c>
      <c r="C23" s="99">
        <f t="shared" si="1"/>
        <v>0.06</v>
      </c>
      <c r="D23" s="90">
        <f t="shared" si="2"/>
        <v>8725</v>
      </c>
      <c r="E23" s="90">
        <f t="shared" si="19"/>
        <v>3251.25</v>
      </c>
      <c r="F23" s="90">
        <f t="shared" si="3"/>
        <v>140000</v>
      </c>
      <c r="G23" s="90">
        <f t="shared" si="4"/>
        <v>10000</v>
      </c>
      <c r="H23" s="49">
        <f t="shared" si="5"/>
        <v>1622.9166666666667</v>
      </c>
      <c r="I23" s="50">
        <f t="shared" si="6"/>
        <v>1351.9791666666667</v>
      </c>
      <c r="J23" s="103"/>
      <c r="K23" s="104">
        <f t="shared" si="20"/>
        <v>11</v>
      </c>
      <c r="L23" s="98">
        <f t="shared" si="7"/>
        <v>75000</v>
      </c>
      <c r="M23" s="105">
        <f t="shared" si="8"/>
        <v>0.06</v>
      </c>
      <c r="N23" s="41">
        <f t="shared" si="21"/>
        <v>11232.549466574903</v>
      </c>
      <c r="O23" s="41">
        <f t="shared" si="22"/>
        <v>4379.6472599587069</v>
      </c>
      <c r="P23" s="41">
        <f t="shared" si="9"/>
        <v>182783.45887525083</v>
      </c>
      <c r="Q23" s="41">
        <f t="shared" si="23"/>
        <v>8096.4925779906071</v>
      </c>
      <c r="R23" s="82">
        <f t="shared" si="10"/>
        <v>1692.0035037137925</v>
      </c>
      <c r="S23" s="83">
        <f t="shared" si="11"/>
        <v>1327.0328987172336</v>
      </c>
      <c r="T23" s="103"/>
      <c r="U23" s="104">
        <f t="shared" si="24"/>
        <v>11</v>
      </c>
      <c r="V23" s="98">
        <f t="shared" si="12"/>
        <v>75000</v>
      </c>
      <c r="W23" s="105">
        <f t="shared" si="13"/>
        <v>0.06</v>
      </c>
      <c r="X23" s="45">
        <f t="shared" si="14"/>
        <v>15000</v>
      </c>
      <c r="Y23" s="45">
        <f t="shared" si="15"/>
        <v>250000</v>
      </c>
      <c r="Z23" s="45">
        <f t="shared" si="16"/>
        <v>0</v>
      </c>
      <c r="AA23" s="75">
        <f t="shared" si="17"/>
        <v>1670</v>
      </c>
      <c r="AB23" s="76">
        <f t="shared" si="25"/>
        <v>1670</v>
      </c>
    </row>
    <row r="24" spans="1:28" x14ac:dyDescent="0.35">
      <c r="A24" s="95">
        <f t="shared" si="18"/>
        <v>12</v>
      </c>
      <c r="B24" s="98">
        <f t="shared" si="0"/>
        <v>75000</v>
      </c>
      <c r="C24" s="99">
        <f t="shared" si="1"/>
        <v>0.06</v>
      </c>
      <c r="D24" s="90">
        <f t="shared" si="2"/>
        <v>8125</v>
      </c>
      <c r="E24" s="90">
        <f t="shared" si="19"/>
        <v>2981.25</v>
      </c>
      <c r="F24" s="90">
        <f t="shared" si="3"/>
        <v>130000</v>
      </c>
      <c r="G24" s="90">
        <f t="shared" si="4"/>
        <v>10000</v>
      </c>
      <c r="H24" s="49">
        <f t="shared" si="5"/>
        <v>1572.9166666666667</v>
      </c>
      <c r="I24" s="50">
        <f t="shared" si="6"/>
        <v>1324.4791666666667</v>
      </c>
      <c r="J24" s="103"/>
      <c r="K24" s="104">
        <f t="shared" si="20"/>
        <v>12</v>
      </c>
      <c r="L24" s="98">
        <f t="shared" si="7"/>
        <v>75000</v>
      </c>
      <c r="M24" s="105">
        <f t="shared" si="8"/>
        <v>0.06</v>
      </c>
      <c r="N24" s="41">
        <f t="shared" si="21"/>
        <v>10733.175520587298</v>
      </c>
      <c r="O24" s="41">
        <f t="shared" si="22"/>
        <v>4154.9289842642838</v>
      </c>
      <c r="P24" s="41">
        <f t="shared" si="9"/>
        <v>174187.59235127261</v>
      </c>
      <c r="Q24" s="41">
        <f t="shared" si="23"/>
        <v>8595.8665239782131</v>
      </c>
      <c r="R24" s="82">
        <f t="shared" si="10"/>
        <v>1692.0035037137925</v>
      </c>
      <c r="S24" s="83">
        <f t="shared" si="11"/>
        <v>1345.7594216917689</v>
      </c>
      <c r="T24" s="103"/>
      <c r="U24" s="104">
        <f t="shared" si="24"/>
        <v>12</v>
      </c>
      <c r="V24" s="98">
        <f t="shared" si="12"/>
        <v>75000</v>
      </c>
      <c r="W24" s="105">
        <f t="shared" si="13"/>
        <v>0.06</v>
      </c>
      <c r="X24" s="45">
        <f t="shared" si="14"/>
        <v>15000</v>
      </c>
      <c r="Y24" s="45">
        <f t="shared" si="15"/>
        <v>250000</v>
      </c>
      <c r="Z24" s="45">
        <f t="shared" si="16"/>
        <v>0</v>
      </c>
      <c r="AA24" s="75">
        <f t="shared" si="17"/>
        <v>1670</v>
      </c>
      <c r="AB24" s="76">
        <f t="shared" si="25"/>
        <v>1670</v>
      </c>
    </row>
    <row r="25" spans="1:28" x14ac:dyDescent="0.35">
      <c r="A25" s="95">
        <f t="shared" si="18"/>
        <v>13</v>
      </c>
      <c r="B25" s="98">
        <f t="shared" si="0"/>
        <v>75000</v>
      </c>
      <c r="C25" s="99">
        <f t="shared" si="1"/>
        <v>0.06</v>
      </c>
      <c r="D25" s="90">
        <f t="shared" si="2"/>
        <v>7525</v>
      </c>
      <c r="E25" s="90">
        <f t="shared" si="19"/>
        <v>2711.25</v>
      </c>
      <c r="F25" s="90">
        <f t="shared" si="3"/>
        <v>120000</v>
      </c>
      <c r="G25" s="90">
        <f t="shared" si="4"/>
        <v>10000</v>
      </c>
      <c r="H25" s="49">
        <f t="shared" si="5"/>
        <v>1522.9166666666667</v>
      </c>
      <c r="I25" s="50">
        <f t="shared" si="6"/>
        <v>1296.9791666666667</v>
      </c>
      <c r="J25" s="103"/>
      <c r="K25" s="104">
        <f t="shared" si="20"/>
        <v>13</v>
      </c>
      <c r="L25" s="98">
        <f t="shared" si="7"/>
        <v>75000</v>
      </c>
      <c r="M25" s="105">
        <f t="shared" si="8"/>
        <v>0.06</v>
      </c>
      <c r="N25" s="41">
        <f t="shared" si="21"/>
        <v>10203.001282309036</v>
      </c>
      <c r="O25" s="41">
        <f t="shared" si="22"/>
        <v>3916.3505770390666</v>
      </c>
      <c r="P25" s="41">
        <f t="shared" si="9"/>
        <v>165061.55158901613</v>
      </c>
      <c r="Q25" s="41">
        <f t="shared" si="23"/>
        <v>9126.0407622564744</v>
      </c>
      <c r="R25" s="82">
        <f t="shared" si="10"/>
        <v>1692.0035037137925</v>
      </c>
      <c r="S25" s="83">
        <f t="shared" si="11"/>
        <v>1365.6409556272038</v>
      </c>
      <c r="T25" s="103"/>
      <c r="U25" s="104">
        <f t="shared" si="24"/>
        <v>13</v>
      </c>
      <c r="V25" s="98">
        <f t="shared" si="12"/>
        <v>75000</v>
      </c>
      <c r="W25" s="105">
        <f t="shared" si="13"/>
        <v>0.06</v>
      </c>
      <c r="X25" s="45">
        <f t="shared" si="14"/>
        <v>15000</v>
      </c>
      <c r="Y25" s="45">
        <f t="shared" si="15"/>
        <v>250000</v>
      </c>
      <c r="Z25" s="45">
        <f t="shared" si="16"/>
        <v>0</v>
      </c>
      <c r="AA25" s="75">
        <f t="shared" si="17"/>
        <v>1670</v>
      </c>
      <c r="AB25" s="76">
        <f t="shared" si="25"/>
        <v>1670</v>
      </c>
    </row>
    <row r="26" spans="1:28" x14ac:dyDescent="0.35">
      <c r="A26" s="95">
        <f t="shared" si="18"/>
        <v>14</v>
      </c>
      <c r="B26" s="98">
        <f t="shared" si="0"/>
        <v>75000</v>
      </c>
      <c r="C26" s="99">
        <f t="shared" si="1"/>
        <v>0.06</v>
      </c>
      <c r="D26" s="90">
        <f t="shared" si="2"/>
        <v>6925</v>
      </c>
      <c r="E26" s="90">
        <f t="shared" si="19"/>
        <v>2441.25</v>
      </c>
      <c r="F26" s="90">
        <f t="shared" si="3"/>
        <v>110000</v>
      </c>
      <c r="G26" s="90">
        <f t="shared" si="4"/>
        <v>10000</v>
      </c>
      <c r="H26" s="49">
        <f t="shared" si="5"/>
        <v>1472.9166666666667</v>
      </c>
      <c r="I26" s="50">
        <f t="shared" si="6"/>
        <v>1269.4791666666667</v>
      </c>
      <c r="J26" s="103"/>
      <c r="K26" s="104">
        <f t="shared" si="20"/>
        <v>14</v>
      </c>
      <c r="L26" s="98">
        <f t="shared" si="7"/>
        <v>75000</v>
      </c>
      <c r="M26" s="105">
        <f t="shared" si="8"/>
        <v>0.06</v>
      </c>
      <c r="N26" s="41">
        <f t="shared" si="21"/>
        <v>9640.1270571068453</v>
      </c>
      <c r="O26" s="41">
        <f t="shared" si="22"/>
        <v>3663.0571756980803</v>
      </c>
      <c r="P26" s="41">
        <f t="shared" si="9"/>
        <v>155372.63660155746</v>
      </c>
      <c r="Q26" s="41">
        <f t="shared" si="23"/>
        <v>9688.9149874586656</v>
      </c>
      <c r="R26" s="82">
        <f t="shared" si="10"/>
        <v>1692.0035037137925</v>
      </c>
      <c r="S26" s="83">
        <f t="shared" si="11"/>
        <v>1386.7487390722861</v>
      </c>
      <c r="T26" s="103"/>
      <c r="U26" s="104">
        <f t="shared" si="24"/>
        <v>14</v>
      </c>
      <c r="V26" s="98">
        <f t="shared" si="12"/>
        <v>75000</v>
      </c>
      <c r="W26" s="105">
        <f t="shared" si="13"/>
        <v>0.06</v>
      </c>
      <c r="X26" s="45">
        <f t="shared" si="14"/>
        <v>15000</v>
      </c>
      <c r="Y26" s="45">
        <f t="shared" si="15"/>
        <v>250000</v>
      </c>
      <c r="Z26" s="45">
        <f t="shared" si="16"/>
        <v>0</v>
      </c>
      <c r="AA26" s="75">
        <f t="shared" si="17"/>
        <v>1670</v>
      </c>
      <c r="AB26" s="76">
        <f t="shared" si="25"/>
        <v>1670</v>
      </c>
    </row>
    <row r="27" spans="1:28" x14ac:dyDescent="0.35">
      <c r="A27" s="95">
        <f t="shared" si="18"/>
        <v>15</v>
      </c>
      <c r="B27" s="98">
        <f t="shared" si="0"/>
        <v>75000</v>
      </c>
      <c r="C27" s="99">
        <f t="shared" si="1"/>
        <v>0.06</v>
      </c>
      <c r="D27" s="90">
        <f t="shared" si="2"/>
        <v>6325</v>
      </c>
      <c r="E27" s="90">
        <f t="shared" si="19"/>
        <v>2171.25</v>
      </c>
      <c r="F27" s="90">
        <f t="shared" si="3"/>
        <v>100000</v>
      </c>
      <c r="G27" s="90">
        <f t="shared" si="4"/>
        <v>10000</v>
      </c>
      <c r="H27" s="49">
        <f t="shared" si="5"/>
        <v>1422.9166666666667</v>
      </c>
      <c r="I27" s="50">
        <f t="shared" si="6"/>
        <v>1241.9791666666667</v>
      </c>
      <c r="J27" s="103"/>
      <c r="K27" s="104">
        <f t="shared" si="20"/>
        <v>15</v>
      </c>
      <c r="L27" s="98">
        <f t="shared" si="7"/>
        <v>75000</v>
      </c>
      <c r="M27" s="105">
        <f t="shared" si="8"/>
        <v>0.06</v>
      </c>
      <c r="N27" s="41">
        <f t="shared" si="21"/>
        <v>9042.5359813392588</v>
      </c>
      <c r="O27" s="41">
        <f t="shared" si="22"/>
        <v>3394.1411916026664</v>
      </c>
      <c r="P27" s="41">
        <f t="shared" si="9"/>
        <v>145086.1305383312</v>
      </c>
      <c r="Q27" s="41">
        <f t="shared" si="23"/>
        <v>10286.506063226252</v>
      </c>
      <c r="R27" s="82">
        <f t="shared" si="10"/>
        <v>1692.0035037137925</v>
      </c>
      <c r="S27" s="83">
        <f t="shared" si="11"/>
        <v>1409.1584044135705</v>
      </c>
      <c r="T27" s="103"/>
      <c r="U27" s="104">
        <f t="shared" si="24"/>
        <v>15</v>
      </c>
      <c r="V27" s="98">
        <f t="shared" si="12"/>
        <v>75000</v>
      </c>
      <c r="W27" s="105">
        <f t="shared" si="13"/>
        <v>0.06</v>
      </c>
      <c r="X27" s="45">
        <f t="shared" si="14"/>
        <v>15000</v>
      </c>
      <c r="Y27" s="45">
        <f t="shared" si="15"/>
        <v>250000</v>
      </c>
      <c r="Z27" s="45">
        <f t="shared" si="16"/>
        <v>0</v>
      </c>
      <c r="AA27" s="75">
        <f t="shared" si="17"/>
        <v>1670</v>
      </c>
      <c r="AB27" s="76">
        <f t="shared" si="25"/>
        <v>1670</v>
      </c>
    </row>
    <row r="28" spans="1:28" x14ac:dyDescent="0.35">
      <c r="A28" s="95">
        <f t="shared" si="18"/>
        <v>16</v>
      </c>
      <c r="B28" s="98">
        <f t="shared" si="0"/>
        <v>75000</v>
      </c>
      <c r="C28" s="99">
        <f t="shared" si="1"/>
        <v>0.06</v>
      </c>
      <c r="D28" s="90">
        <f t="shared" si="2"/>
        <v>5725</v>
      </c>
      <c r="E28" s="90">
        <f t="shared" si="19"/>
        <v>1901.25</v>
      </c>
      <c r="F28" s="90">
        <f t="shared" si="3"/>
        <v>90000</v>
      </c>
      <c r="G28" s="90">
        <f t="shared" si="4"/>
        <v>10000</v>
      </c>
      <c r="H28" s="49">
        <f t="shared" si="5"/>
        <v>1372.9166666666667</v>
      </c>
      <c r="I28" s="50">
        <f t="shared" si="6"/>
        <v>1214.4791666666667</v>
      </c>
      <c r="J28" s="103"/>
      <c r="K28" s="104">
        <f t="shared" si="20"/>
        <v>16</v>
      </c>
      <c r="L28" s="98">
        <f t="shared" si="7"/>
        <v>75000</v>
      </c>
      <c r="M28" s="105">
        <f t="shared" si="8"/>
        <v>0.06</v>
      </c>
      <c r="N28" s="41">
        <f t="shared" si="21"/>
        <v>8408.0867956285765</v>
      </c>
      <c r="O28" s="41">
        <f t="shared" si="22"/>
        <v>3108.6390580328593</v>
      </c>
      <c r="P28" s="41">
        <f t="shared" si="9"/>
        <v>134165.17528939428</v>
      </c>
      <c r="Q28" s="41">
        <f t="shared" si="23"/>
        <v>10920.955248936934</v>
      </c>
      <c r="R28" s="82">
        <f t="shared" si="10"/>
        <v>1692.0035037137925</v>
      </c>
      <c r="S28" s="83">
        <f t="shared" si="11"/>
        <v>1432.9502488777209</v>
      </c>
      <c r="T28" s="103"/>
      <c r="U28" s="104">
        <f t="shared" si="24"/>
        <v>16</v>
      </c>
      <c r="V28" s="98">
        <f t="shared" si="12"/>
        <v>75000</v>
      </c>
      <c r="W28" s="105">
        <f t="shared" si="13"/>
        <v>0.06</v>
      </c>
      <c r="X28" s="45">
        <f t="shared" si="14"/>
        <v>15000</v>
      </c>
      <c r="Y28" s="45">
        <f t="shared" si="15"/>
        <v>250000</v>
      </c>
      <c r="Z28" s="45">
        <f t="shared" si="16"/>
        <v>0</v>
      </c>
      <c r="AA28" s="75">
        <f t="shared" si="17"/>
        <v>1670</v>
      </c>
      <c r="AB28" s="76">
        <f t="shared" si="25"/>
        <v>1670</v>
      </c>
    </row>
    <row r="29" spans="1:28" x14ac:dyDescent="0.35">
      <c r="A29" s="95">
        <f t="shared" si="18"/>
        <v>17</v>
      </c>
      <c r="B29" s="98">
        <f t="shared" si="0"/>
        <v>75000</v>
      </c>
      <c r="C29" s="99">
        <f t="shared" si="1"/>
        <v>0.06</v>
      </c>
      <c r="D29" s="90">
        <f t="shared" si="2"/>
        <v>5125</v>
      </c>
      <c r="E29" s="90">
        <f t="shared" si="19"/>
        <v>1631.25</v>
      </c>
      <c r="F29" s="90">
        <f t="shared" si="3"/>
        <v>80000</v>
      </c>
      <c r="G29" s="90">
        <f t="shared" si="4"/>
        <v>10000</v>
      </c>
      <c r="H29" s="49">
        <f t="shared" si="5"/>
        <v>1322.9166666666667</v>
      </c>
      <c r="I29" s="50">
        <f t="shared" si="6"/>
        <v>1186.9791666666667</v>
      </c>
      <c r="J29" s="103"/>
      <c r="K29" s="104">
        <f t="shared" si="20"/>
        <v>17</v>
      </c>
      <c r="L29" s="98">
        <f t="shared" si="7"/>
        <v>75000</v>
      </c>
      <c r="M29" s="105">
        <f t="shared" si="8"/>
        <v>0.06</v>
      </c>
      <c r="N29" s="41">
        <f t="shared" si="21"/>
        <v>7734.5061724040461</v>
      </c>
      <c r="O29" s="41">
        <f t="shared" si="22"/>
        <v>2805.5277775818208</v>
      </c>
      <c r="P29" s="41">
        <f t="shared" si="9"/>
        <v>122570.63941723281</v>
      </c>
      <c r="Q29" s="41">
        <f t="shared" si="23"/>
        <v>11594.535872161465</v>
      </c>
      <c r="R29" s="82">
        <f t="shared" si="10"/>
        <v>1692.0035037137925</v>
      </c>
      <c r="S29" s="83">
        <f t="shared" si="11"/>
        <v>1458.2095222486407</v>
      </c>
      <c r="T29" s="103"/>
      <c r="U29" s="104">
        <f t="shared" si="24"/>
        <v>17</v>
      </c>
      <c r="V29" s="98">
        <f t="shared" si="12"/>
        <v>75000</v>
      </c>
      <c r="W29" s="105">
        <f t="shared" si="13"/>
        <v>0.06</v>
      </c>
      <c r="X29" s="45">
        <f t="shared" si="14"/>
        <v>15000</v>
      </c>
      <c r="Y29" s="45">
        <f t="shared" si="15"/>
        <v>250000</v>
      </c>
      <c r="Z29" s="45">
        <f t="shared" si="16"/>
        <v>0</v>
      </c>
      <c r="AA29" s="75">
        <f t="shared" si="17"/>
        <v>1670</v>
      </c>
      <c r="AB29" s="76">
        <f t="shared" si="25"/>
        <v>1670</v>
      </c>
    </row>
    <row r="30" spans="1:28" x14ac:dyDescent="0.35">
      <c r="A30" s="95">
        <f t="shared" si="18"/>
        <v>18</v>
      </c>
      <c r="B30" s="98">
        <f t="shared" si="0"/>
        <v>75000</v>
      </c>
      <c r="C30" s="99">
        <f t="shared" si="1"/>
        <v>0.06</v>
      </c>
      <c r="D30" s="90">
        <f t="shared" si="2"/>
        <v>4525</v>
      </c>
      <c r="E30" s="90">
        <f t="shared" si="19"/>
        <v>1361.25</v>
      </c>
      <c r="F30" s="90">
        <f t="shared" si="3"/>
        <v>70000</v>
      </c>
      <c r="G30" s="90">
        <f t="shared" si="4"/>
        <v>10000</v>
      </c>
      <c r="H30" s="49">
        <f t="shared" si="5"/>
        <v>1272.9166666666667</v>
      </c>
      <c r="I30" s="50">
        <f t="shared" si="6"/>
        <v>1159.4791666666667</v>
      </c>
      <c r="J30" s="103"/>
      <c r="K30" s="104">
        <f t="shared" si="20"/>
        <v>18</v>
      </c>
      <c r="L30" s="98">
        <f t="shared" si="7"/>
        <v>75000</v>
      </c>
      <c r="M30" s="105">
        <f t="shared" si="8"/>
        <v>0.06</v>
      </c>
      <c r="N30" s="41">
        <f t="shared" si="21"/>
        <v>7019.3805702247028</v>
      </c>
      <c r="O30" s="41">
        <f t="shared" si="22"/>
        <v>2483.7212566011162</v>
      </c>
      <c r="P30" s="41">
        <f t="shared" si="9"/>
        <v>110260.977942892</v>
      </c>
      <c r="Q30" s="41">
        <f t="shared" si="23"/>
        <v>12309.661474340808</v>
      </c>
      <c r="R30" s="82">
        <f t="shared" si="10"/>
        <v>1692.0035037137925</v>
      </c>
      <c r="S30" s="83">
        <f t="shared" si="11"/>
        <v>1485.0267323303663</v>
      </c>
      <c r="T30" s="103"/>
      <c r="U30" s="104">
        <f t="shared" si="24"/>
        <v>18</v>
      </c>
      <c r="V30" s="98">
        <f t="shared" si="12"/>
        <v>75000</v>
      </c>
      <c r="W30" s="105">
        <f t="shared" si="13"/>
        <v>0.06</v>
      </c>
      <c r="X30" s="45">
        <f t="shared" si="14"/>
        <v>15000</v>
      </c>
      <c r="Y30" s="45">
        <f t="shared" si="15"/>
        <v>250000</v>
      </c>
      <c r="Z30" s="45">
        <f t="shared" si="16"/>
        <v>0</v>
      </c>
      <c r="AA30" s="75">
        <f t="shared" si="17"/>
        <v>1670</v>
      </c>
      <c r="AB30" s="76">
        <f t="shared" si="25"/>
        <v>1670</v>
      </c>
    </row>
    <row r="31" spans="1:28" x14ac:dyDescent="0.35">
      <c r="A31" s="95">
        <f t="shared" si="18"/>
        <v>19</v>
      </c>
      <c r="B31" s="98">
        <f t="shared" si="0"/>
        <v>75000</v>
      </c>
      <c r="C31" s="99">
        <f t="shared" si="1"/>
        <v>0.06</v>
      </c>
      <c r="D31" s="90">
        <f t="shared" si="2"/>
        <v>3925</v>
      </c>
      <c r="E31" s="90">
        <f t="shared" si="19"/>
        <v>1091.25</v>
      </c>
      <c r="F31" s="90">
        <f t="shared" si="3"/>
        <v>60000</v>
      </c>
      <c r="G31" s="90">
        <f t="shared" si="4"/>
        <v>10000</v>
      </c>
      <c r="H31" s="49">
        <f t="shared" si="5"/>
        <v>1222.9166666666667</v>
      </c>
      <c r="I31" s="50">
        <f t="shared" si="6"/>
        <v>1131.9791666666667</v>
      </c>
      <c r="J31" s="103"/>
      <c r="K31" s="104">
        <f t="shared" si="20"/>
        <v>19</v>
      </c>
      <c r="L31" s="98">
        <f t="shared" si="7"/>
        <v>75000</v>
      </c>
      <c r="M31" s="105">
        <f t="shared" si="8"/>
        <v>0.06</v>
      </c>
      <c r="N31" s="41">
        <f t="shared" si="21"/>
        <v>6260.1475856946563</v>
      </c>
      <c r="O31" s="41">
        <f t="shared" si="22"/>
        <v>2142.0664135625952</v>
      </c>
      <c r="P31" s="41">
        <f t="shared" si="9"/>
        <v>97192.083484021146</v>
      </c>
      <c r="Q31" s="41">
        <f t="shared" si="23"/>
        <v>13068.894458870855</v>
      </c>
      <c r="R31" s="82">
        <f t="shared" si="10"/>
        <v>1692.0035037137925</v>
      </c>
      <c r="S31" s="83">
        <f t="shared" si="11"/>
        <v>1513.4979692502429</v>
      </c>
      <c r="T31" s="103"/>
      <c r="U31" s="104">
        <f t="shared" si="24"/>
        <v>19</v>
      </c>
      <c r="V31" s="98">
        <f t="shared" si="12"/>
        <v>75000</v>
      </c>
      <c r="W31" s="105">
        <f t="shared" si="13"/>
        <v>0.06</v>
      </c>
      <c r="X31" s="45">
        <f t="shared" si="14"/>
        <v>15000</v>
      </c>
      <c r="Y31" s="45">
        <f t="shared" si="15"/>
        <v>250000</v>
      </c>
      <c r="Z31" s="45">
        <f t="shared" si="16"/>
        <v>0</v>
      </c>
      <c r="AA31" s="75">
        <f t="shared" si="17"/>
        <v>1670</v>
      </c>
      <c r="AB31" s="76">
        <f t="shared" si="25"/>
        <v>1670</v>
      </c>
    </row>
    <row r="32" spans="1:28" x14ac:dyDescent="0.35">
      <c r="A32" s="95">
        <f t="shared" si="18"/>
        <v>20</v>
      </c>
      <c r="B32" s="98">
        <f t="shared" si="0"/>
        <v>75000</v>
      </c>
      <c r="C32" s="99">
        <f t="shared" si="1"/>
        <v>0.06</v>
      </c>
      <c r="D32" s="90">
        <f t="shared" si="2"/>
        <v>3325</v>
      </c>
      <c r="E32" s="90">
        <f t="shared" si="19"/>
        <v>821.25</v>
      </c>
      <c r="F32" s="90">
        <f t="shared" si="3"/>
        <v>50000</v>
      </c>
      <c r="G32" s="90">
        <f t="shared" si="4"/>
        <v>10000</v>
      </c>
      <c r="H32" s="49">
        <f t="shared" si="5"/>
        <v>1172.9166666666667</v>
      </c>
      <c r="I32" s="50">
        <f t="shared" si="6"/>
        <v>1104.4791666666667</v>
      </c>
      <c r="J32" s="103"/>
      <c r="K32" s="104">
        <f t="shared" si="20"/>
        <v>20</v>
      </c>
      <c r="L32" s="98">
        <f t="shared" si="7"/>
        <v>75000</v>
      </c>
      <c r="M32" s="105">
        <f t="shared" si="8"/>
        <v>0.06</v>
      </c>
      <c r="N32" s="41">
        <f t="shared" si="21"/>
        <v>5454.0867719834441</v>
      </c>
      <c r="O32" s="41">
        <f t="shared" si="22"/>
        <v>1779.3390473925499</v>
      </c>
      <c r="P32" s="41">
        <f t="shared" si="9"/>
        <v>83317.128211439078</v>
      </c>
      <c r="Q32" s="41">
        <f t="shared" si="23"/>
        <v>13874.955272582067</v>
      </c>
      <c r="R32" s="82">
        <f t="shared" si="10"/>
        <v>1692.0035037137925</v>
      </c>
      <c r="S32" s="83">
        <f t="shared" si="11"/>
        <v>1543.7252497644133</v>
      </c>
      <c r="T32" s="103"/>
      <c r="U32" s="104">
        <f t="shared" si="24"/>
        <v>20</v>
      </c>
      <c r="V32" s="98">
        <f t="shared" si="12"/>
        <v>75000</v>
      </c>
      <c r="W32" s="105">
        <f t="shared" si="13"/>
        <v>0.06</v>
      </c>
      <c r="X32" s="45">
        <f t="shared" si="14"/>
        <v>15000</v>
      </c>
      <c r="Y32" s="45">
        <f t="shared" si="15"/>
        <v>250000</v>
      </c>
      <c r="Z32" s="45">
        <f t="shared" si="16"/>
        <v>0</v>
      </c>
      <c r="AA32" s="75">
        <f t="shared" si="17"/>
        <v>1670</v>
      </c>
      <c r="AB32" s="76">
        <f t="shared" si="25"/>
        <v>1670</v>
      </c>
    </row>
    <row r="33" spans="1:28" x14ac:dyDescent="0.35">
      <c r="A33" s="95">
        <f t="shared" si="18"/>
        <v>21</v>
      </c>
      <c r="B33" s="98">
        <f t="shared" si="0"/>
        <v>75000</v>
      </c>
      <c r="C33" s="99">
        <f t="shared" si="1"/>
        <v>0.06</v>
      </c>
      <c r="D33" s="90">
        <f t="shared" si="2"/>
        <v>2725</v>
      </c>
      <c r="E33" s="90">
        <f t="shared" si="19"/>
        <v>551.25</v>
      </c>
      <c r="F33" s="90">
        <f t="shared" si="3"/>
        <v>40000</v>
      </c>
      <c r="G33" s="90">
        <f t="shared" si="4"/>
        <v>10000</v>
      </c>
      <c r="H33" s="49">
        <f t="shared" si="5"/>
        <v>1122.9166666666667</v>
      </c>
      <c r="I33" s="50">
        <f t="shared" si="6"/>
        <v>1076.9791666666667</v>
      </c>
      <c r="J33" s="103"/>
      <c r="K33" s="104">
        <f t="shared" si="20"/>
        <v>21</v>
      </c>
      <c r="L33" s="98">
        <f t="shared" si="7"/>
        <v>75000</v>
      </c>
      <c r="M33" s="105">
        <f t="shared" si="8"/>
        <v>0.06</v>
      </c>
      <c r="N33" s="41">
        <f t="shared" si="21"/>
        <v>4598.3098910528079</v>
      </c>
      <c r="O33" s="41">
        <f t="shared" si="22"/>
        <v>1394.2394509737635</v>
      </c>
      <c r="P33" s="41">
        <f t="shared" si="9"/>
        <v>68586.39605792638</v>
      </c>
      <c r="Q33" s="41">
        <f t="shared" si="23"/>
        <v>14730.732153512703</v>
      </c>
      <c r="R33" s="82">
        <f t="shared" si="10"/>
        <v>1692.0035037137925</v>
      </c>
      <c r="S33" s="83">
        <f t="shared" si="11"/>
        <v>1575.8168827993122</v>
      </c>
      <c r="T33" s="103"/>
      <c r="U33" s="104">
        <f t="shared" si="24"/>
        <v>21</v>
      </c>
      <c r="V33" s="98">
        <f t="shared" si="12"/>
        <v>75000</v>
      </c>
      <c r="W33" s="105">
        <f t="shared" si="13"/>
        <v>0.06</v>
      </c>
      <c r="X33" s="45">
        <f t="shared" si="14"/>
        <v>15000</v>
      </c>
      <c r="Y33" s="45">
        <f t="shared" si="15"/>
        <v>250000</v>
      </c>
      <c r="Z33" s="45">
        <f t="shared" si="16"/>
        <v>0</v>
      </c>
      <c r="AA33" s="75">
        <f t="shared" si="17"/>
        <v>1670</v>
      </c>
      <c r="AB33" s="76">
        <f t="shared" si="25"/>
        <v>1670</v>
      </c>
    </row>
    <row r="34" spans="1:28" x14ac:dyDescent="0.35">
      <c r="A34" s="95">
        <f t="shared" si="18"/>
        <v>22</v>
      </c>
      <c r="B34" s="98">
        <f t="shared" si="0"/>
        <v>75000</v>
      </c>
      <c r="C34" s="99">
        <f t="shared" si="1"/>
        <v>0.06</v>
      </c>
      <c r="D34" s="90">
        <f t="shared" si="2"/>
        <v>2125</v>
      </c>
      <c r="E34" s="90">
        <f t="shared" si="19"/>
        <v>281.25</v>
      </c>
      <c r="F34" s="90">
        <f t="shared" si="3"/>
        <v>30000</v>
      </c>
      <c r="G34" s="90">
        <f t="shared" si="4"/>
        <v>10000</v>
      </c>
      <c r="H34" s="49">
        <f t="shared" si="5"/>
        <v>1072.9166666666667</v>
      </c>
      <c r="I34" s="50">
        <f t="shared" si="6"/>
        <v>1049.4791666666667</v>
      </c>
      <c r="J34" s="103"/>
      <c r="K34" s="104">
        <f t="shared" si="20"/>
        <v>22</v>
      </c>
      <c r="L34" s="98">
        <f t="shared" si="7"/>
        <v>75000</v>
      </c>
      <c r="M34" s="105">
        <f t="shared" si="8"/>
        <v>0.06</v>
      </c>
      <c r="N34" s="41">
        <f t="shared" si="21"/>
        <v>3689.7505646621448</v>
      </c>
      <c r="O34" s="41">
        <f t="shared" si="22"/>
        <v>985.38775409796517</v>
      </c>
      <c r="P34" s="41">
        <f t="shared" si="9"/>
        <v>52947.104578023012</v>
      </c>
      <c r="Q34" s="41">
        <f t="shared" si="23"/>
        <v>15639.291479903366</v>
      </c>
      <c r="R34" s="82">
        <f t="shared" si="10"/>
        <v>1692.0035037137925</v>
      </c>
      <c r="S34" s="83">
        <f t="shared" si="11"/>
        <v>1609.887857538962</v>
      </c>
      <c r="T34" s="103"/>
      <c r="U34" s="104">
        <f t="shared" si="24"/>
        <v>22</v>
      </c>
      <c r="V34" s="98">
        <f t="shared" si="12"/>
        <v>75000</v>
      </c>
      <c r="W34" s="105">
        <f t="shared" si="13"/>
        <v>0.06</v>
      </c>
      <c r="X34" s="45">
        <f t="shared" si="14"/>
        <v>15000</v>
      </c>
      <c r="Y34" s="45">
        <f t="shared" si="15"/>
        <v>250000</v>
      </c>
      <c r="Z34" s="45">
        <f t="shared" si="16"/>
        <v>0</v>
      </c>
      <c r="AA34" s="75">
        <f t="shared" si="17"/>
        <v>1670</v>
      </c>
      <c r="AB34" s="76">
        <f t="shared" si="25"/>
        <v>1670</v>
      </c>
    </row>
    <row r="35" spans="1:28" x14ac:dyDescent="0.35">
      <c r="A35" s="95">
        <f t="shared" si="18"/>
        <v>23</v>
      </c>
      <c r="B35" s="98">
        <f t="shared" si="0"/>
        <v>75000</v>
      </c>
      <c r="C35" s="99">
        <f t="shared" si="1"/>
        <v>0.06</v>
      </c>
      <c r="D35" s="90">
        <f t="shared" si="2"/>
        <v>1525</v>
      </c>
      <c r="E35" s="90">
        <f t="shared" si="19"/>
        <v>11.25</v>
      </c>
      <c r="F35" s="90">
        <f t="shared" si="3"/>
        <v>20000</v>
      </c>
      <c r="G35" s="90">
        <f t="shared" si="4"/>
        <v>10000</v>
      </c>
      <c r="H35" s="49">
        <f t="shared" si="5"/>
        <v>1022.9166666666666</v>
      </c>
      <c r="I35" s="50">
        <f t="shared" si="6"/>
        <v>1021.9791666666666</v>
      </c>
      <c r="J35" s="103"/>
      <c r="K35" s="104">
        <f t="shared" si="20"/>
        <v>23</v>
      </c>
      <c r="L35" s="98">
        <f t="shared" si="7"/>
        <v>75000</v>
      </c>
      <c r="M35" s="105">
        <f t="shared" si="8"/>
        <v>0.06</v>
      </c>
      <c r="N35" s="41">
        <f t="shared" si="21"/>
        <v>2725.1532870706251</v>
      </c>
      <c r="O35" s="41">
        <f t="shared" si="22"/>
        <v>551.31897918178129</v>
      </c>
      <c r="P35" s="41">
        <f t="shared" si="9"/>
        <v>36343.21582052813</v>
      </c>
      <c r="Q35" s="41">
        <f t="shared" si="23"/>
        <v>16603.888757494886</v>
      </c>
      <c r="R35" s="82">
        <f t="shared" si="10"/>
        <v>1692.0035037137925</v>
      </c>
      <c r="S35" s="83">
        <f t="shared" si="11"/>
        <v>1646.0602554486441</v>
      </c>
      <c r="T35" s="103"/>
      <c r="U35" s="104">
        <f t="shared" si="24"/>
        <v>23</v>
      </c>
      <c r="V35" s="98">
        <f t="shared" si="12"/>
        <v>75000</v>
      </c>
      <c r="W35" s="105">
        <f t="shared" si="13"/>
        <v>0.06</v>
      </c>
      <c r="X35" s="45">
        <f t="shared" si="14"/>
        <v>15000</v>
      </c>
      <c r="Y35" s="45">
        <f t="shared" si="15"/>
        <v>250000</v>
      </c>
      <c r="Z35" s="45">
        <f t="shared" si="16"/>
        <v>0</v>
      </c>
      <c r="AA35" s="75">
        <f t="shared" si="17"/>
        <v>1670</v>
      </c>
      <c r="AB35" s="76">
        <f t="shared" si="25"/>
        <v>1670</v>
      </c>
    </row>
    <row r="36" spans="1:28" x14ac:dyDescent="0.35">
      <c r="A36" s="95">
        <f t="shared" si="18"/>
        <v>24</v>
      </c>
      <c r="B36" s="98">
        <f t="shared" si="0"/>
        <v>75000</v>
      </c>
      <c r="C36" s="99">
        <f t="shared" si="1"/>
        <v>0.06</v>
      </c>
      <c r="D36" s="90">
        <f t="shared" si="2"/>
        <v>925</v>
      </c>
      <c r="E36" s="90">
        <f t="shared" si="19"/>
        <v>0</v>
      </c>
      <c r="F36" s="90">
        <f t="shared" si="3"/>
        <v>10000</v>
      </c>
      <c r="G36" s="90">
        <f t="shared" si="4"/>
        <v>10000</v>
      </c>
      <c r="H36" s="49">
        <f t="shared" si="5"/>
        <v>972.91666666666663</v>
      </c>
      <c r="I36" s="50">
        <f t="shared" si="6"/>
        <v>972.91666666666663</v>
      </c>
      <c r="J36" s="103"/>
      <c r="K36" s="104">
        <f t="shared" si="20"/>
        <v>24</v>
      </c>
      <c r="L36" s="98">
        <f t="shared" si="7"/>
        <v>75000</v>
      </c>
      <c r="M36" s="105">
        <f t="shared" si="8"/>
        <v>0.06</v>
      </c>
      <c r="N36" s="41">
        <f t="shared" si="21"/>
        <v>1701.0617600668083</v>
      </c>
      <c r="O36" s="41">
        <f t="shared" si="22"/>
        <v>90.477792030063753</v>
      </c>
      <c r="P36" s="41">
        <f t="shared" si="9"/>
        <v>18715.235536029428</v>
      </c>
      <c r="Q36" s="41">
        <f t="shared" si="23"/>
        <v>17627.980284498703</v>
      </c>
      <c r="R36" s="82">
        <f t="shared" si="10"/>
        <v>1692.0035037137925</v>
      </c>
      <c r="S36" s="83">
        <f t="shared" si="11"/>
        <v>1684.4636877112873</v>
      </c>
      <c r="T36" s="103"/>
      <c r="U36" s="104">
        <f t="shared" si="24"/>
        <v>24</v>
      </c>
      <c r="V36" s="98">
        <f t="shared" si="12"/>
        <v>75000</v>
      </c>
      <c r="W36" s="105">
        <f t="shared" si="13"/>
        <v>0.06</v>
      </c>
      <c r="X36" s="45">
        <f t="shared" si="14"/>
        <v>15000</v>
      </c>
      <c r="Y36" s="45">
        <f t="shared" si="15"/>
        <v>250000</v>
      </c>
      <c r="Z36" s="45">
        <f t="shared" si="16"/>
        <v>0</v>
      </c>
      <c r="AA36" s="75">
        <f t="shared" si="17"/>
        <v>1670</v>
      </c>
      <c r="AB36" s="76">
        <f t="shared" si="25"/>
        <v>1670</v>
      </c>
    </row>
    <row r="37" spans="1:28" x14ac:dyDescent="0.35">
      <c r="A37" s="95">
        <f t="shared" si="18"/>
        <v>25</v>
      </c>
      <c r="B37" s="98">
        <f t="shared" si="0"/>
        <v>75000</v>
      </c>
      <c r="C37" s="99">
        <f t="shared" si="1"/>
        <v>0.06</v>
      </c>
      <c r="D37" s="90">
        <f t="shared" si="2"/>
        <v>325</v>
      </c>
      <c r="E37" s="90">
        <f t="shared" si="19"/>
        <v>0</v>
      </c>
      <c r="F37" s="90">
        <f t="shared" si="3"/>
        <v>0</v>
      </c>
      <c r="G37" s="90">
        <f t="shared" si="4"/>
        <v>10000</v>
      </c>
      <c r="H37" s="49">
        <f t="shared" si="5"/>
        <v>922.91666666666663</v>
      </c>
      <c r="I37" s="50">
        <f t="shared" si="6"/>
        <v>922.91666666666663</v>
      </c>
      <c r="J37" s="103"/>
      <c r="K37" s="104">
        <f t="shared" si="20"/>
        <v>25</v>
      </c>
      <c r="L37" s="98">
        <f t="shared" si="7"/>
        <v>75000</v>
      </c>
      <c r="M37" s="105">
        <f t="shared" si="8"/>
        <v>0.06</v>
      </c>
      <c r="N37" s="41">
        <f t="shared" si="21"/>
        <v>613.80650852842518</v>
      </c>
      <c r="O37" s="41">
        <f t="shared" si="22"/>
        <v>0</v>
      </c>
      <c r="P37" s="41">
        <f t="shared" si="9"/>
        <v>-7.6579453889280558E-9</v>
      </c>
      <c r="Q37" s="41">
        <f t="shared" si="23"/>
        <v>18715.235536037086</v>
      </c>
      <c r="R37" s="82">
        <f t="shared" si="10"/>
        <v>1692.0035037137925</v>
      </c>
      <c r="S37" s="83">
        <f t="shared" si="11"/>
        <v>1692.0035037137925</v>
      </c>
      <c r="T37" s="103"/>
      <c r="U37" s="104">
        <f t="shared" si="24"/>
        <v>25</v>
      </c>
      <c r="V37" s="98">
        <f t="shared" si="12"/>
        <v>75000</v>
      </c>
      <c r="W37" s="105">
        <f t="shared" si="13"/>
        <v>0.06</v>
      </c>
      <c r="X37" s="45">
        <f t="shared" si="14"/>
        <v>15000</v>
      </c>
      <c r="Y37" s="45">
        <f t="shared" si="15"/>
        <v>250000</v>
      </c>
      <c r="Z37" s="45">
        <f t="shared" si="16"/>
        <v>0</v>
      </c>
      <c r="AA37" s="75">
        <f t="shared" si="17"/>
        <v>1670</v>
      </c>
      <c r="AB37" s="76">
        <f t="shared" si="25"/>
        <v>1670</v>
      </c>
    </row>
    <row r="38" spans="1:28" x14ac:dyDescent="0.35">
      <c r="A38" s="95" t="str">
        <f t="shared" si="18"/>
        <v>-</v>
      </c>
      <c r="B38" s="98" t="str">
        <f t="shared" si="0"/>
        <v>-</v>
      </c>
      <c r="C38" s="99" t="str">
        <f t="shared" si="1"/>
        <v>-</v>
      </c>
      <c r="D38" s="90">
        <f t="shared" si="2"/>
        <v>0</v>
      </c>
      <c r="E38" s="90">
        <f t="shared" si="19"/>
        <v>0</v>
      </c>
      <c r="F38" s="90">
        <f t="shared" si="3"/>
        <v>0</v>
      </c>
      <c r="G38" s="90">
        <f t="shared" si="4"/>
        <v>0</v>
      </c>
      <c r="H38" s="49">
        <f t="shared" si="5"/>
        <v>0</v>
      </c>
      <c r="I38" s="50">
        <f t="shared" si="6"/>
        <v>0</v>
      </c>
      <c r="J38" s="103"/>
      <c r="K38" s="104" t="str">
        <f t="shared" si="20"/>
        <v>-</v>
      </c>
      <c r="L38" s="98" t="str">
        <f t="shared" si="7"/>
        <v>-</v>
      </c>
      <c r="M38" s="105" t="str">
        <f t="shared" si="8"/>
        <v>-</v>
      </c>
      <c r="N38" s="41">
        <f t="shared" si="21"/>
        <v>0</v>
      </c>
      <c r="O38" s="41">
        <f t="shared" si="22"/>
        <v>0</v>
      </c>
      <c r="P38" s="41">
        <f t="shared" si="9"/>
        <v>0</v>
      </c>
      <c r="Q38" s="41">
        <f t="shared" si="23"/>
        <v>0</v>
      </c>
      <c r="R38" s="82">
        <f t="shared" si="10"/>
        <v>0</v>
      </c>
      <c r="S38" s="83">
        <f t="shared" si="11"/>
        <v>0</v>
      </c>
      <c r="T38" s="103"/>
      <c r="U38" s="104" t="str">
        <f t="shared" si="24"/>
        <v>-</v>
      </c>
      <c r="V38" s="106" t="str">
        <f t="shared" si="12"/>
        <v>-</v>
      </c>
      <c r="W38" s="105" t="str">
        <f t="shared" si="13"/>
        <v>-</v>
      </c>
      <c r="X38" s="45">
        <f t="shared" si="14"/>
        <v>0</v>
      </c>
      <c r="Y38" s="45">
        <f t="shared" si="15"/>
        <v>0</v>
      </c>
      <c r="Z38" s="45">
        <f t="shared" si="16"/>
        <v>0</v>
      </c>
      <c r="AA38" s="75">
        <f t="shared" si="17"/>
        <v>0</v>
      </c>
      <c r="AB38" s="76">
        <f t="shared" si="25"/>
        <v>0</v>
      </c>
    </row>
    <row r="39" spans="1:28" x14ac:dyDescent="0.35">
      <c r="A39" s="95" t="str">
        <f t="shared" si="18"/>
        <v>-</v>
      </c>
      <c r="B39" s="98" t="str">
        <f t="shared" si="0"/>
        <v>-</v>
      </c>
      <c r="C39" s="99" t="str">
        <f t="shared" si="1"/>
        <v>-</v>
      </c>
      <c r="D39" s="90">
        <f t="shared" si="2"/>
        <v>0</v>
      </c>
      <c r="E39" s="90">
        <f t="shared" si="19"/>
        <v>0</v>
      </c>
      <c r="F39" s="90">
        <f t="shared" si="3"/>
        <v>0</v>
      </c>
      <c r="G39" s="90">
        <f t="shared" si="4"/>
        <v>0</v>
      </c>
      <c r="H39" s="49">
        <f t="shared" si="5"/>
        <v>0</v>
      </c>
      <c r="I39" s="50">
        <f t="shared" si="6"/>
        <v>0</v>
      </c>
      <c r="J39" s="103"/>
      <c r="K39" s="104" t="str">
        <f t="shared" si="20"/>
        <v>-</v>
      </c>
      <c r="L39" s="98" t="str">
        <f t="shared" si="7"/>
        <v>-</v>
      </c>
      <c r="M39" s="105" t="str">
        <f t="shared" si="8"/>
        <v>-</v>
      </c>
      <c r="N39" s="41">
        <f t="shared" si="21"/>
        <v>0</v>
      </c>
      <c r="O39" s="41">
        <f t="shared" si="22"/>
        <v>0</v>
      </c>
      <c r="P39" s="41">
        <f t="shared" si="9"/>
        <v>0</v>
      </c>
      <c r="Q39" s="41">
        <f t="shared" si="23"/>
        <v>0</v>
      </c>
      <c r="R39" s="82">
        <f t="shared" si="10"/>
        <v>0</v>
      </c>
      <c r="S39" s="83">
        <f t="shared" si="11"/>
        <v>0</v>
      </c>
      <c r="T39" s="103"/>
      <c r="U39" s="104" t="str">
        <f t="shared" si="24"/>
        <v>-</v>
      </c>
      <c r="V39" s="106" t="str">
        <f t="shared" si="12"/>
        <v>-</v>
      </c>
      <c r="W39" s="105" t="str">
        <f t="shared" si="13"/>
        <v>-</v>
      </c>
      <c r="X39" s="45">
        <f t="shared" si="14"/>
        <v>0</v>
      </c>
      <c r="Y39" s="45">
        <f t="shared" si="15"/>
        <v>0</v>
      </c>
      <c r="Z39" s="45">
        <f t="shared" si="16"/>
        <v>0</v>
      </c>
      <c r="AA39" s="75">
        <f t="shared" si="17"/>
        <v>0</v>
      </c>
      <c r="AB39" s="76">
        <f t="shared" si="25"/>
        <v>0</v>
      </c>
    </row>
    <row r="40" spans="1:28" x14ac:dyDescent="0.35">
      <c r="A40" s="95" t="str">
        <f t="shared" si="18"/>
        <v>-</v>
      </c>
      <c r="B40" s="98" t="str">
        <f t="shared" si="0"/>
        <v>-</v>
      </c>
      <c r="C40" s="99" t="str">
        <f t="shared" si="1"/>
        <v>-</v>
      </c>
      <c r="D40" s="90">
        <f t="shared" si="2"/>
        <v>0</v>
      </c>
      <c r="E40" s="90">
        <f t="shared" si="19"/>
        <v>0</v>
      </c>
      <c r="F40" s="90">
        <f t="shared" si="3"/>
        <v>0</v>
      </c>
      <c r="G40" s="90">
        <f t="shared" si="4"/>
        <v>0</v>
      </c>
      <c r="H40" s="49">
        <f t="shared" si="5"/>
        <v>0</v>
      </c>
      <c r="I40" s="50">
        <f t="shared" si="6"/>
        <v>0</v>
      </c>
      <c r="J40" s="103"/>
      <c r="K40" s="104" t="str">
        <f t="shared" si="20"/>
        <v>-</v>
      </c>
      <c r="L40" s="98" t="str">
        <f t="shared" si="7"/>
        <v>-</v>
      </c>
      <c r="M40" s="105" t="str">
        <f t="shared" si="8"/>
        <v>-</v>
      </c>
      <c r="N40" s="41">
        <f t="shared" si="21"/>
        <v>0</v>
      </c>
      <c r="O40" s="41">
        <f t="shared" si="22"/>
        <v>0</v>
      </c>
      <c r="P40" s="41">
        <f t="shared" si="9"/>
        <v>0</v>
      </c>
      <c r="Q40" s="41">
        <f t="shared" si="23"/>
        <v>0</v>
      </c>
      <c r="R40" s="82">
        <f t="shared" si="10"/>
        <v>0</v>
      </c>
      <c r="S40" s="83">
        <f t="shared" si="11"/>
        <v>0</v>
      </c>
      <c r="T40" s="103"/>
      <c r="U40" s="104" t="str">
        <f t="shared" si="24"/>
        <v>-</v>
      </c>
      <c r="V40" s="106" t="str">
        <f t="shared" si="12"/>
        <v>-</v>
      </c>
      <c r="W40" s="105" t="str">
        <f t="shared" si="13"/>
        <v>-</v>
      </c>
      <c r="X40" s="45">
        <f t="shared" si="14"/>
        <v>0</v>
      </c>
      <c r="Y40" s="45">
        <f t="shared" si="15"/>
        <v>0</v>
      </c>
      <c r="Z40" s="45">
        <f t="shared" si="16"/>
        <v>0</v>
      </c>
      <c r="AA40" s="75">
        <f t="shared" si="17"/>
        <v>0</v>
      </c>
      <c r="AB40" s="76">
        <f t="shared" si="25"/>
        <v>0</v>
      </c>
    </row>
    <row r="41" spans="1:28" x14ac:dyDescent="0.35">
      <c r="A41" s="95" t="str">
        <f t="shared" si="18"/>
        <v>-</v>
      </c>
      <c r="B41" s="98" t="str">
        <f t="shared" si="0"/>
        <v>-</v>
      </c>
      <c r="C41" s="99" t="str">
        <f t="shared" si="1"/>
        <v>-</v>
      </c>
      <c r="D41" s="90">
        <f t="shared" si="2"/>
        <v>0</v>
      </c>
      <c r="E41" s="90">
        <f t="shared" si="19"/>
        <v>0</v>
      </c>
      <c r="F41" s="90">
        <f t="shared" si="3"/>
        <v>0</v>
      </c>
      <c r="G41" s="90">
        <f t="shared" si="4"/>
        <v>0</v>
      </c>
      <c r="H41" s="49">
        <f t="shared" si="5"/>
        <v>0</v>
      </c>
      <c r="I41" s="50">
        <f t="shared" si="6"/>
        <v>0</v>
      </c>
      <c r="J41" s="103"/>
      <c r="K41" s="104" t="str">
        <f t="shared" si="20"/>
        <v>-</v>
      </c>
      <c r="L41" s="98" t="str">
        <f t="shared" si="7"/>
        <v>-</v>
      </c>
      <c r="M41" s="105" t="str">
        <f t="shared" si="8"/>
        <v>-</v>
      </c>
      <c r="N41" s="41">
        <f t="shared" si="21"/>
        <v>0</v>
      </c>
      <c r="O41" s="41">
        <f t="shared" si="22"/>
        <v>0</v>
      </c>
      <c r="P41" s="41">
        <f t="shared" si="9"/>
        <v>0</v>
      </c>
      <c r="Q41" s="41">
        <f t="shared" si="23"/>
        <v>0</v>
      </c>
      <c r="R41" s="82">
        <f t="shared" si="10"/>
        <v>0</v>
      </c>
      <c r="S41" s="83">
        <f t="shared" si="11"/>
        <v>0</v>
      </c>
      <c r="T41" s="103"/>
      <c r="U41" s="104" t="str">
        <f t="shared" si="24"/>
        <v>-</v>
      </c>
      <c r="V41" s="106" t="str">
        <f t="shared" si="12"/>
        <v>-</v>
      </c>
      <c r="W41" s="105" t="str">
        <f t="shared" si="13"/>
        <v>-</v>
      </c>
      <c r="X41" s="45">
        <f t="shared" si="14"/>
        <v>0</v>
      </c>
      <c r="Y41" s="45">
        <f t="shared" si="15"/>
        <v>0</v>
      </c>
      <c r="Z41" s="45">
        <f t="shared" si="16"/>
        <v>0</v>
      </c>
      <c r="AA41" s="75">
        <f t="shared" si="17"/>
        <v>0</v>
      </c>
      <c r="AB41" s="76">
        <f t="shared" si="25"/>
        <v>0</v>
      </c>
    </row>
    <row r="42" spans="1:28" ht="13.15" thickBot="1" x14ac:dyDescent="0.4">
      <c r="A42" s="95" t="str">
        <f t="shared" si="18"/>
        <v>-</v>
      </c>
      <c r="B42" s="98" t="str">
        <f t="shared" si="0"/>
        <v>-</v>
      </c>
      <c r="C42" s="99" t="str">
        <f t="shared" si="1"/>
        <v>-</v>
      </c>
      <c r="D42" s="91">
        <f t="shared" si="2"/>
        <v>0</v>
      </c>
      <c r="E42" s="91">
        <f t="shared" si="19"/>
        <v>0</v>
      </c>
      <c r="F42" s="90">
        <f t="shared" si="3"/>
        <v>0</v>
      </c>
      <c r="G42" s="91">
        <f t="shared" si="4"/>
        <v>0</v>
      </c>
      <c r="H42" s="51">
        <f t="shared" si="5"/>
        <v>0</v>
      </c>
      <c r="I42" s="52">
        <f t="shared" si="6"/>
        <v>0</v>
      </c>
      <c r="J42" s="103"/>
      <c r="K42" s="104" t="str">
        <f t="shared" si="20"/>
        <v>-</v>
      </c>
      <c r="L42" s="98" t="str">
        <f t="shared" si="7"/>
        <v>-</v>
      </c>
      <c r="M42" s="105" t="str">
        <f t="shared" si="8"/>
        <v>-</v>
      </c>
      <c r="N42" s="42">
        <f t="shared" si="21"/>
        <v>0</v>
      </c>
      <c r="O42" s="42">
        <f t="shared" si="22"/>
        <v>0</v>
      </c>
      <c r="P42" s="41">
        <f t="shared" si="9"/>
        <v>0</v>
      </c>
      <c r="Q42" s="42">
        <f t="shared" si="23"/>
        <v>0</v>
      </c>
      <c r="R42" s="84">
        <f t="shared" si="10"/>
        <v>0</v>
      </c>
      <c r="S42" s="85">
        <f t="shared" si="11"/>
        <v>0</v>
      </c>
      <c r="T42" s="103"/>
      <c r="U42" s="104" t="str">
        <f t="shared" si="24"/>
        <v>-</v>
      </c>
      <c r="V42" s="106" t="str">
        <f t="shared" si="12"/>
        <v>-</v>
      </c>
      <c r="W42" s="105" t="str">
        <f t="shared" si="13"/>
        <v>-</v>
      </c>
      <c r="X42" s="46">
        <f t="shared" si="14"/>
        <v>0</v>
      </c>
      <c r="Y42" s="45">
        <f t="shared" si="15"/>
        <v>0</v>
      </c>
      <c r="Z42" s="46">
        <f t="shared" si="16"/>
        <v>0</v>
      </c>
      <c r="AA42" s="77">
        <f t="shared" si="17"/>
        <v>0</v>
      </c>
      <c r="AB42" s="77">
        <f>IF(Z42&gt;0,(Y42+$C$6+AA42)/12,0)</f>
        <v>0</v>
      </c>
    </row>
    <row r="43" spans="1:28" x14ac:dyDescent="0.35">
      <c r="A43" s="95" t="s">
        <v>17</v>
      </c>
      <c r="B43" s="38"/>
      <c r="C43" s="38"/>
      <c r="D43" s="90">
        <f>SUM(D13:D37)</f>
        <v>188125</v>
      </c>
      <c r="E43" s="90">
        <f>SUM(E13:E37)</f>
        <v>68568.75</v>
      </c>
      <c r="F43" s="90"/>
      <c r="G43" s="90">
        <f>SUM(G13:G37)</f>
        <v>250000</v>
      </c>
      <c r="H43" s="49">
        <f>SUM(H13:H37)</f>
        <v>38072.916666666664</v>
      </c>
      <c r="I43" s="50">
        <f>SUM(I13:I37)</f>
        <v>32358.854166666682</v>
      </c>
      <c r="J43" s="103"/>
      <c r="K43" s="104" t="s">
        <v>17</v>
      </c>
      <c r="L43" s="103"/>
      <c r="M43" s="103"/>
      <c r="N43" s="41">
        <f>SUM(N13:N42)</f>
        <v>233226.05111413012</v>
      </c>
      <c r="O43" s="41">
        <f>SUM(O13:O42)</f>
        <v>88475.510072520789</v>
      </c>
      <c r="P43" s="41"/>
      <c r="Q43" s="41">
        <f>SUM(Q13:Q42)</f>
        <v>250000.00000000768</v>
      </c>
      <c r="R43" s="82">
        <f>SUM(R13:R42)</f>
        <v>42300.087592844822</v>
      </c>
      <c r="S43" s="83">
        <f>SUM(S13:S42)</f>
        <v>34927.128420134759</v>
      </c>
      <c r="T43" s="103"/>
      <c r="U43" s="104" t="s">
        <v>17</v>
      </c>
      <c r="V43" s="103"/>
      <c r="W43" s="103"/>
      <c r="X43" s="45">
        <f>SUM(X13:X37)</f>
        <v>375000</v>
      </c>
      <c r="Y43" s="45"/>
      <c r="Z43" s="45">
        <f>SUM(Z13:Z37)</f>
        <v>0</v>
      </c>
      <c r="AA43" s="75">
        <f>SUM(AA13:AA37)</f>
        <v>41750</v>
      </c>
      <c r="AB43" s="76">
        <f>SUM(AB13:AB37)</f>
        <v>41750</v>
      </c>
    </row>
    <row r="44" spans="1:28" x14ac:dyDescent="0.35">
      <c r="A44" s="2"/>
      <c r="D44" s="108"/>
      <c r="E44" s="108"/>
      <c r="F44" s="108"/>
      <c r="G44" s="108"/>
      <c r="H44" s="49"/>
      <c r="I44" s="50"/>
      <c r="J44" s="3"/>
      <c r="K44" s="9"/>
      <c r="L44" s="10"/>
      <c r="M44" s="10"/>
      <c r="N44" s="72"/>
      <c r="O44" s="72"/>
      <c r="P44" s="72"/>
      <c r="Q44" s="72"/>
      <c r="R44" s="82">
        <f>IF(Q44&gt;0,(N44+$C$5+Q44)/12,0)</f>
        <v>0</v>
      </c>
      <c r="S44" s="83"/>
      <c r="T44" s="3"/>
      <c r="U44" s="4"/>
      <c r="V44" s="3"/>
      <c r="W44" s="3"/>
      <c r="X44" s="128"/>
      <c r="Y44" s="128"/>
      <c r="Z44" s="128"/>
      <c r="AA44" s="75"/>
      <c r="AB44" s="76"/>
    </row>
    <row r="45" spans="1:28" x14ac:dyDescent="0.35">
      <c r="B45" s="5"/>
      <c r="C45" s="5"/>
      <c r="D45" s="113" t="s">
        <v>18</v>
      </c>
      <c r="E45" s="108"/>
      <c r="F45" s="108"/>
      <c r="G45" s="108"/>
      <c r="H45" s="53">
        <f>H43*12</f>
        <v>456875</v>
      </c>
      <c r="I45" s="54">
        <f>I43*12</f>
        <v>388306.25000000017</v>
      </c>
      <c r="J45" s="3"/>
      <c r="K45" s="11"/>
      <c r="L45" s="12"/>
      <c r="M45" s="12"/>
      <c r="N45" s="73" t="s">
        <v>18</v>
      </c>
      <c r="O45" s="72"/>
      <c r="P45" s="72"/>
      <c r="Q45" s="72"/>
      <c r="R45" s="86">
        <f>R43*12</f>
        <v>507601.05111413787</v>
      </c>
      <c r="S45" s="87">
        <f>S43*12</f>
        <v>419125.54104161711</v>
      </c>
      <c r="T45" s="3"/>
      <c r="V45" s="6"/>
      <c r="W45" s="6"/>
      <c r="X45" s="129" t="s">
        <v>18</v>
      </c>
      <c r="Y45" s="128"/>
      <c r="Z45" s="128"/>
      <c r="AA45" s="78">
        <f>AA43*12</f>
        <v>501000</v>
      </c>
      <c r="AB45" s="79">
        <f>AB43*12</f>
        <v>501000</v>
      </c>
    </row>
    <row r="46" spans="1:28" x14ac:dyDescent="0.35">
      <c r="A46" s="2"/>
      <c r="K46" s="2"/>
      <c r="U46" s="2"/>
    </row>
    <row r="47" spans="1:28" hidden="1" x14ac:dyDescent="0.35"/>
    <row r="48" spans="1:28" hidden="1" x14ac:dyDescent="0.35">
      <c r="B48" s="1"/>
      <c r="L48" s="21" t="s">
        <v>24</v>
      </c>
      <c r="M48" s="21"/>
      <c r="N48" s="21"/>
      <c r="O48" s="21"/>
      <c r="P48" s="21"/>
      <c r="Q48" s="21"/>
      <c r="R48" s="21"/>
      <c r="S48" s="21"/>
      <c r="V48" s="1"/>
    </row>
    <row r="49" spans="1:19" hidden="1" x14ac:dyDescent="0.35">
      <c r="L49" s="21"/>
      <c r="M49" s="22">
        <f>$C$1*(0.06/(1-(1+0.06)^-25))</f>
        <v>19556.679553068487</v>
      </c>
      <c r="N49" s="21"/>
      <c r="O49" s="21">
        <v>1585.3905</v>
      </c>
      <c r="P49" s="21"/>
      <c r="Q49" s="21"/>
      <c r="R49" s="21"/>
      <c r="S49" s="21"/>
    </row>
    <row r="50" spans="1:19" hidden="1" x14ac:dyDescent="0.35">
      <c r="B50" s="7"/>
      <c r="L50" s="21" t="s">
        <v>19</v>
      </c>
      <c r="M50" s="22">
        <f>$C$1*(($C$2/12)/(1-(1+($C$2/12))^-($C$3*12)))</f>
        <v>1610.7535037137925</v>
      </c>
      <c r="N50" s="21"/>
      <c r="O50" s="21">
        <v>250000</v>
      </c>
      <c r="P50" s="21"/>
      <c r="Q50" s="21"/>
      <c r="R50" s="21"/>
      <c r="S50" s="21"/>
    </row>
    <row r="51" spans="1:19" hidden="1" x14ac:dyDescent="0.35">
      <c r="L51" s="21"/>
      <c r="M51" s="21"/>
      <c r="N51" s="21"/>
      <c r="O51" s="21"/>
      <c r="P51" s="21"/>
      <c r="Q51" s="21"/>
      <c r="R51" s="21"/>
      <c r="S51" s="21"/>
    </row>
    <row r="52" spans="1:19" hidden="1" x14ac:dyDescent="0.35">
      <c r="L52" s="21" t="s">
        <v>20</v>
      </c>
      <c r="M52" s="21" t="s">
        <v>21</v>
      </c>
      <c r="N52" s="21" t="s">
        <v>22</v>
      </c>
      <c r="O52" s="21" t="s">
        <v>23</v>
      </c>
      <c r="P52" s="21"/>
      <c r="Q52" s="21"/>
      <c r="R52" s="21"/>
      <c r="S52" s="21"/>
    </row>
    <row r="53" spans="1:19" hidden="1" x14ac:dyDescent="0.35">
      <c r="A53" s="1"/>
      <c r="D53" s="8"/>
      <c r="L53" s="22">
        <f t="shared" ref="L53:L64" si="26">$M$50</f>
        <v>1610.7535037137925</v>
      </c>
      <c r="M53" s="21">
        <f>$C$2*$C$1/12</f>
        <v>1250</v>
      </c>
      <c r="N53" s="21">
        <f t="shared" ref="N53:N64" si="27">L53-M53</f>
        <v>360.7535037137925</v>
      </c>
      <c r="O53" s="23">
        <f>$C$1-N53</f>
        <v>249639.24649628621</v>
      </c>
      <c r="P53" s="21">
        <v>1</v>
      </c>
      <c r="Q53" s="21"/>
      <c r="R53" s="21"/>
      <c r="S53" s="21"/>
    </row>
    <row r="54" spans="1:19" hidden="1" x14ac:dyDescent="0.35">
      <c r="A54" s="1"/>
      <c r="L54" s="22">
        <f t="shared" si="26"/>
        <v>1610.7535037137925</v>
      </c>
      <c r="M54" s="21">
        <f t="shared" ref="M54:M64" si="28">$C$2*O53/12</f>
        <v>1248.196232481431</v>
      </c>
      <c r="N54" s="21">
        <f t="shared" si="27"/>
        <v>362.55727123236147</v>
      </c>
      <c r="O54" s="21">
        <f t="shared" ref="O54:O64" si="29">O53-N54</f>
        <v>249276.68922505385</v>
      </c>
      <c r="P54" s="21">
        <v>2</v>
      </c>
      <c r="Q54" s="21"/>
      <c r="R54" s="21"/>
      <c r="S54" s="21"/>
    </row>
    <row r="55" spans="1:19" hidden="1" x14ac:dyDescent="0.35">
      <c r="A55" s="1"/>
      <c r="L55" s="22">
        <f t="shared" si="26"/>
        <v>1610.7535037137925</v>
      </c>
      <c r="M55" s="21">
        <f t="shared" si="28"/>
        <v>1246.3834461252693</v>
      </c>
      <c r="N55" s="21">
        <f t="shared" si="27"/>
        <v>364.3700575885232</v>
      </c>
      <c r="O55" s="21">
        <f t="shared" si="29"/>
        <v>248912.31916746532</v>
      </c>
      <c r="P55" s="21">
        <v>3</v>
      </c>
      <c r="Q55" s="21"/>
      <c r="R55" s="21"/>
      <c r="S55" s="21"/>
    </row>
    <row r="56" spans="1:19" hidden="1" x14ac:dyDescent="0.35">
      <c r="A56" s="1"/>
      <c r="L56" s="22">
        <f t="shared" si="26"/>
        <v>1610.7535037137925</v>
      </c>
      <c r="M56" s="21">
        <f t="shared" si="28"/>
        <v>1244.5615958373266</v>
      </c>
      <c r="N56" s="21">
        <f t="shared" si="27"/>
        <v>366.19190787646585</v>
      </c>
      <c r="O56" s="21">
        <f t="shared" si="29"/>
        <v>248546.12725958886</v>
      </c>
      <c r="P56" s="21">
        <v>4</v>
      </c>
      <c r="Q56" s="21"/>
      <c r="R56" s="21"/>
      <c r="S56" s="21"/>
    </row>
    <row r="57" spans="1:19" hidden="1" x14ac:dyDescent="0.35">
      <c r="A57" s="1"/>
      <c r="L57" s="22">
        <f t="shared" si="26"/>
        <v>1610.7535037137925</v>
      </c>
      <c r="M57" s="21">
        <f t="shared" si="28"/>
        <v>1242.7306362979441</v>
      </c>
      <c r="N57" s="21">
        <f t="shared" si="27"/>
        <v>368.0228674158484</v>
      </c>
      <c r="O57" s="21">
        <f t="shared" si="29"/>
        <v>248178.104392173</v>
      </c>
      <c r="P57" s="21">
        <v>5</v>
      </c>
      <c r="Q57" s="21"/>
      <c r="R57" s="21"/>
      <c r="S57" s="21"/>
    </row>
    <row r="58" spans="1:19" hidden="1" x14ac:dyDescent="0.35">
      <c r="A58" s="1"/>
      <c r="L58" s="22">
        <f t="shared" si="26"/>
        <v>1610.7535037137925</v>
      </c>
      <c r="M58" s="21">
        <f t="shared" si="28"/>
        <v>1240.8905219608648</v>
      </c>
      <c r="N58" s="21">
        <f t="shared" si="27"/>
        <v>369.86298175292768</v>
      </c>
      <c r="O58" s="21">
        <f t="shared" si="29"/>
        <v>247808.24141042007</v>
      </c>
      <c r="P58" s="21">
        <v>6</v>
      </c>
      <c r="Q58" s="21"/>
      <c r="R58" s="21"/>
      <c r="S58" s="21"/>
    </row>
    <row r="59" spans="1:19" hidden="1" x14ac:dyDescent="0.35">
      <c r="A59" s="1"/>
      <c r="L59" s="22">
        <f t="shared" si="26"/>
        <v>1610.7535037137925</v>
      </c>
      <c r="M59" s="21">
        <f t="shared" si="28"/>
        <v>1239.0412070521004</v>
      </c>
      <c r="N59" s="21">
        <f t="shared" si="27"/>
        <v>371.71229666169211</v>
      </c>
      <c r="O59" s="21">
        <f t="shared" si="29"/>
        <v>247436.52911375838</v>
      </c>
      <c r="P59" s="21">
        <v>7</v>
      </c>
      <c r="Q59" s="21"/>
      <c r="R59" s="21"/>
      <c r="S59" s="21"/>
    </row>
    <row r="60" spans="1:19" hidden="1" x14ac:dyDescent="0.35">
      <c r="A60" s="1"/>
      <c r="L60" s="22">
        <f t="shared" si="26"/>
        <v>1610.7535037137925</v>
      </c>
      <c r="M60" s="21">
        <f t="shared" si="28"/>
        <v>1237.1826455687919</v>
      </c>
      <c r="N60" s="21">
        <f t="shared" si="27"/>
        <v>373.57085814500056</v>
      </c>
      <c r="O60" s="21">
        <f t="shared" si="29"/>
        <v>247062.9582556134</v>
      </c>
      <c r="P60" s="21">
        <v>8</v>
      </c>
      <c r="Q60" s="21"/>
      <c r="R60" s="21"/>
      <c r="S60" s="21"/>
    </row>
    <row r="61" spans="1:19" hidden="1" x14ac:dyDescent="0.35">
      <c r="A61" s="1"/>
      <c r="L61" s="22">
        <f t="shared" si="26"/>
        <v>1610.7535037137925</v>
      </c>
      <c r="M61" s="21">
        <f t="shared" si="28"/>
        <v>1235.3147912780669</v>
      </c>
      <c r="N61" s="21">
        <f t="shared" si="27"/>
        <v>375.43871243572562</v>
      </c>
      <c r="O61" s="21">
        <f t="shared" si="29"/>
        <v>246687.51954317768</v>
      </c>
      <c r="P61" s="21">
        <v>9</v>
      </c>
      <c r="Q61" s="21"/>
      <c r="R61" s="21"/>
      <c r="S61" s="21"/>
    </row>
    <row r="62" spans="1:19" hidden="1" x14ac:dyDescent="0.35">
      <c r="A62" s="1"/>
      <c r="L62" s="22">
        <f t="shared" si="26"/>
        <v>1610.7535037137925</v>
      </c>
      <c r="M62" s="21">
        <f t="shared" si="28"/>
        <v>1233.4375977158884</v>
      </c>
      <c r="N62" s="21">
        <f t="shared" si="27"/>
        <v>377.31590599790411</v>
      </c>
      <c r="O62" s="21">
        <f t="shared" si="29"/>
        <v>246310.20363717977</v>
      </c>
      <c r="P62" s="21">
        <v>10</v>
      </c>
      <c r="Q62" s="21"/>
      <c r="R62" s="21"/>
      <c r="S62" s="21"/>
    </row>
    <row r="63" spans="1:19" hidden="1" x14ac:dyDescent="0.35">
      <c r="A63" s="1"/>
      <c r="L63" s="22">
        <f t="shared" si="26"/>
        <v>1610.7535037137925</v>
      </c>
      <c r="M63" s="21">
        <f t="shared" si="28"/>
        <v>1231.5510181858988</v>
      </c>
      <c r="N63" s="21">
        <f t="shared" si="27"/>
        <v>379.20248552789371</v>
      </c>
      <c r="O63" s="21">
        <f t="shared" si="29"/>
        <v>245931.00115165187</v>
      </c>
      <c r="P63" s="21">
        <v>11</v>
      </c>
      <c r="Q63" s="21"/>
      <c r="R63" s="21"/>
      <c r="S63" s="21"/>
    </row>
    <row r="64" spans="1:19" hidden="1" x14ac:dyDescent="0.35">
      <c r="A64" s="1"/>
      <c r="L64" s="22">
        <f t="shared" si="26"/>
        <v>1610.7535037137925</v>
      </c>
      <c r="M64" s="21">
        <f t="shared" si="28"/>
        <v>1229.6550057582592</v>
      </c>
      <c r="N64" s="21">
        <f t="shared" si="27"/>
        <v>381.09849795553328</v>
      </c>
      <c r="O64" s="21">
        <f t="shared" si="29"/>
        <v>245549.90265369634</v>
      </c>
      <c r="P64" s="21">
        <v>12</v>
      </c>
    </row>
    <row r="65" spans="13:15" hidden="1" x14ac:dyDescent="0.35">
      <c r="M65" s="21">
        <f>SUM(M53:M64)</f>
        <v>14878.944698261841</v>
      </c>
      <c r="N65" s="21">
        <f>SUM(N53:N64)</f>
        <v>4450.097346303668</v>
      </c>
      <c r="O65" s="21">
        <f>N65+M65</f>
        <v>19329.042044565511</v>
      </c>
    </row>
    <row r="66" spans="13:15" hidden="1" x14ac:dyDescent="0.35"/>
    <row r="67" spans="13:15" hidden="1" x14ac:dyDescent="0.35"/>
  </sheetData>
  <mergeCells count="12">
    <mergeCell ref="AA2:AB2"/>
    <mergeCell ref="R2:S2"/>
    <mergeCell ref="H2:I2"/>
    <mergeCell ref="A5:B5"/>
    <mergeCell ref="A6:B6"/>
    <mergeCell ref="A1:B1"/>
    <mergeCell ref="A2:B2"/>
    <mergeCell ref="A3:B3"/>
    <mergeCell ref="A4:B4"/>
    <mergeCell ref="A9:B9"/>
    <mergeCell ref="A8:B8"/>
    <mergeCell ref="A7:B7"/>
  </mergeCells>
  <phoneticPr fontId="0" type="noConversion"/>
  <printOptions headings="1" gridLines="1"/>
  <pageMargins left="0.19685039370078741" right="0.19685039370078741" top="0.98425196850393704" bottom="0.82677165354330717" header="0.31496062992125984" footer="0.31496062992125984"/>
  <pageSetup paperSize="9" scale="47" orientation="landscape" horizontalDpi="300" verticalDpi="300" r:id="rId1"/>
  <headerFooter scaleWithDoc="0" alignWithMargins="0"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M&amp;O in Balans, 7e druk Uitgeverij Van Vlimmeren BV</dc:title>
  <dc:creator>Sarina van Vlimmeren</dc:creator>
  <cp:lastModifiedBy>Sarina van Vlimmeren</cp:lastModifiedBy>
  <cp:lastPrinted>2014-05-12T23:42:50Z</cp:lastPrinted>
  <dcterms:created xsi:type="dcterms:W3CDTF">1999-11-21T23:57:15Z</dcterms:created>
  <dcterms:modified xsi:type="dcterms:W3CDTF">2014-05-12T23:43:06Z</dcterms:modified>
</cp:coreProperties>
</file>